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LANUV\Abt7\FB72\AbfAblagerung&amp;Lagerung\Deponiebetrieb\71_DepÜberwachung\2005 Auslöseschwellen\2018 Arbeitshilfe\"/>
    </mc:Choice>
  </mc:AlternateContent>
  <bookViews>
    <workbookView xWindow="-30" yWindow="105" windowWidth="15360" windowHeight="9720" tabRatio="692" firstSheet="12" activeTab="27"/>
  </bookViews>
  <sheets>
    <sheet name="pH" sheetId="44" r:id="rId1"/>
    <sheet name="eLF" sheetId="45" r:id="rId2"/>
    <sheet name="Natrium" sheetId="86" r:id="rId3"/>
    <sheet name="Kalium" sheetId="87" r:id="rId4"/>
    <sheet name="Magnesium" sheetId="88" r:id="rId5"/>
    <sheet name="Calcium" sheetId="89" r:id="rId6"/>
    <sheet name="Ngesamt" sheetId="95" r:id="rId7"/>
    <sheet name="Nitrat" sheetId="90" r:id="rId8"/>
    <sheet name="Ammonium" sheetId="91" r:id="rId9"/>
    <sheet name="Sulfat" sheetId="92" r:id="rId10"/>
    <sheet name="Chlorid" sheetId="93" r:id="rId11"/>
    <sheet name="TOC" sheetId="96" r:id="rId12"/>
    <sheet name="Fluorid" sheetId="97" r:id="rId13"/>
    <sheet name="Cyanid, lfr" sheetId="98" r:id="rId14"/>
    <sheet name="Cyanid" sheetId="99" r:id="rId15"/>
    <sheet name="Bor" sheetId="100" r:id="rId16"/>
    <sheet name="KW" sheetId="101" r:id="rId17"/>
    <sheet name="PAK" sheetId="102" r:id="rId18"/>
    <sheet name="AOX" sheetId="104" r:id="rId19"/>
    <sheet name="Arsen" sheetId="105" r:id="rId20"/>
    <sheet name="Blei" sheetId="106" r:id="rId21"/>
    <sheet name="Cadmium" sheetId="107" r:id="rId22"/>
    <sheet name="Chrom ges" sheetId="108" r:id="rId23"/>
    <sheet name="Kupfer" sheetId="109" r:id="rId24"/>
    <sheet name="Molybdän" sheetId="110" r:id="rId25"/>
    <sheet name="Nickel" sheetId="111" r:id="rId26"/>
    <sheet name="Quecksilber" sheetId="112" r:id="rId27"/>
    <sheet name="Zink" sheetId="113" r:id="rId28"/>
    <sheet name="frei 1" sheetId="115" r:id="rId29"/>
    <sheet name="frei 2" sheetId="116" r:id="rId30"/>
    <sheet name="frei 3" sheetId="117" r:id="rId31"/>
    <sheet name="frei 4" sheetId="118" r:id="rId32"/>
    <sheet name="frei 5" sheetId="119" r:id="rId33"/>
    <sheet name="trend 1" sheetId="43" r:id="rId34"/>
    <sheet name="trend 2" sheetId="120" r:id="rId35"/>
    <sheet name="trend 3" sheetId="121" r:id="rId36"/>
    <sheet name="trend 4" sheetId="122" r:id="rId37"/>
    <sheet name="XX" sheetId="85" r:id="rId38"/>
  </sheets>
  <definedNames>
    <definedName name="_xlnm.Print_Area" localSheetId="8">Ammonium!$A$1:$L$43</definedName>
    <definedName name="_xlnm.Print_Area" localSheetId="18">AOX!$A$1:$L$43</definedName>
    <definedName name="_xlnm.Print_Area" localSheetId="19">Arsen!$A$1:$L$43</definedName>
    <definedName name="_xlnm.Print_Area" localSheetId="20">Blei!$A$1:$L$43</definedName>
    <definedName name="_xlnm.Print_Area" localSheetId="15">Bor!$A$1:$L$43</definedName>
    <definedName name="_xlnm.Print_Area" localSheetId="21">Cadmium!$A$1:$L$43</definedName>
    <definedName name="_xlnm.Print_Area" localSheetId="5">Calcium!$A$1:$L$43</definedName>
    <definedName name="_xlnm.Print_Area" localSheetId="10">Chlorid!$A$1:$L$43</definedName>
    <definedName name="_xlnm.Print_Area" localSheetId="22">'Chrom ges'!$A$1:$L$43</definedName>
    <definedName name="_xlnm.Print_Area" localSheetId="14">Cyanid!$A$1:$L$43</definedName>
    <definedName name="_xlnm.Print_Area" localSheetId="13">'Cyanid, lfr'!$A$1:$L$43</definedName>
    <definedName name="_xlnm.Print_Area" localSheetId="1">eLF!$A$1:$L$43</definedName>
    <definedName name="_xlnm.Print_Area" localSheetId="12">Fluorid!$A$1:$L$43</definedName>
    <definedName name="_xlnm.Print_Area" localSheetId="28">'frei 1'!$A$1:$L$43</definedName>
    <definedName name="_xlnm.Print_Area" localSheetId="29">'frei 2'!$A$1:$L$43</definedName>
    <definedName name="_xlnm.Print_Area" localSheetId="30">'frei 3'!$A$1:$L$43</definedName>
    <definedName name="_xlnm.Print_Area" localSheetId="31">'frei 4'!$A$1:$L$43</definedName>
    <definedName name="_xlnm.Print_Area" localSheetId="32">'frei 5'!$A$1:$L$43</definedName>
    <definedName name="_xlnm.Print_Area" localSheetId="3">Kalium!$A$1:$L$43</definedName>
    <definedName name="_xlnm.Print_Area" localSheetId="23">Kupfer!$A$1:$L$43</definedName>
    <definedName name="_xlnm.Print_Area" localSheetId="16">KW!$A$1:$L$43</definedName>
    <definedName name="_xlnm.Print_Area" localSheetId="4">Magnesium!$A$1:$L$43</definedName>
    <definedName name="_xlnm.Print_Area" localSheetId="24">Molybdän!$A$1:$L$43</definedName>
    <definedName name="_xlnm.Print_Area" localSheetId="2">Natrium!$A$1:$L$43</definedName>
    <definedName name="_xlnm.Print_Area" localSheetId="6">Ngesamt!$A$1:$L$43</definedName>
    <definedName name="_xlnm.Print_Area" localSheetId="25">Nickel!$A$1:$L$43</definedName>
    <definedName name="_xlnm.Print_Area" localSheetId="7">Nitrat!$A$1:$L$43</definedName>
    <definedName name="_xlnm.Print_Area" localSheetId="17">PAK!$A$1:$L$43</definedName>
    <definedName name="_xlnm.Print_Area" localSheetId="0">pH!$A$1:$L$43</definedName>
    <definedName name="_xlnm.Print_Area" localSheetId="26">Quecksilber!$A$1:$L$43</definedName>
    <definedName name="_xlnm.Print_Area" localSheetId="9">Sulfat!$A$1:$L$43</definedName>
    <definedName name="_xlnm.Print_Area" localSheetId="11">TOC!$A$1:$L$43</definedName>
    <definedName name="_xlnm.Print_Area" localSheetId="33">'trend 1'!$A$1:$O$50</definedName>
    <definedName name="_xlnm.Print_Area" localSheetId="34">'trend 2'!$A$1:$O$50</definedName>
    <definedName name="_xlnm.Print_Area" localSheetId="35">'trend 3'!$A$1:$O$50</definedName>
    <definedName name="_xlnm.Print_Area" localSheetId="36">'trend 4'!$A$1:$O$50</definedName>
    <definedName name="_xlnm.Print_Area" localSheetId="27">Zink!$A$1:$L$43</definedName>
    <definedName name="Z_4DB53354_9304_4D29_9D44_F7F82D0F18C9_.wvu.PrintArea" localSheetId="8" hidden="1">Ammonium!$A$1:$L$44</definedName>
    <definedName name="Z_4DB53354_9304_4D29_9D44_F7F82D0F18C9_.wvu.PrintArea" localSheetId="18" hidden="1">AOX!$A$1:$L$44</definedName>
    <definedName name="Z_4DB53354_9304_4D29_9D44_F7F82D0F18C9_.wvu.PrintArea" localSheetId="19" hidden="1">Arsen!$A$1:$L$44</definedName>
    <definedName name="Z_4DB53354_9304_4D29_9D44_F7F82D0F18C9_.wvu.PrintArea" localSheetId="20" hidden="1">Blei!$A$1:$L$44</definedName>
    <definedName name="Z_4DB53354_9304_4D29_9D44_F7F82D0F18C9_.wvu.PrintArea" localSheetId="15" hidden="1">Bor!$A$1:$L$44</definedName>
    <definedName name="Z_4DB53354_9304_4D29_9D44_F7F82D0F18C9_.wvu.PrintArea" localSheetId="21" hidden="1">Cadmium!$A$1:$L$44</definedName>
    <definedName name="Z_4DB53354_9304_4D29_9D44_F7F82D0F18C9_.wvu.PrintArea" localSheetId="5" hidden="1">Calcium!$A$1:$L$44</definedName>
    <definedName name="Z_4DB53354_9304_4D29_9D44_F7F82D0F18C9_.wvu.PrintArea" localSheetId="10" hidden="1">Chlorid!$A$1:$L$44</definedName>
    <definedName name="Z_4DB53354_9304_4D29_9D44_F7F82D0F18C9_.wvu.PrintArea" localSheetId="22" hidden="1">'Chrom ges'!$A$1:$L$44</definedName>
    <definedName name="Z_4DB53354_9304_4D29_9D44_F7F82D0F18C9_.wvu.PrintArea" localSheetId="14" hidden="1">Cyanid!$A$1:$L$44</definedName>
    <definedName name="Z_4DB53354_9304_4D29_9D44_F7F82D0F18C9_.wvu.PrintArea" localSheetId="13" hidden="1">'Cyanid, lfr'!$A$1:$L$44</definedName>
    <definedName name="Z_4DB53354_9304_4D29_9D44_F7F82D0F18C9_.wvu.PrintArea" localSheetId="1" hidden="1">eLF!$A$1:$L$44</definedName>
    <definedName name="Z_4DB53354_9304_4D29_9D44_F7F82D0F18C9_.wvu.PrintArea" localSheetId="12" hidden="1">Fluorid!$A$1:$L$44</definedName>
    <definedName name="Z_4DB53354_9304_4D29_9D44_F7F82D0F18C9_.wvu.PrintArea" localSheetId="28" hidden="1">'frei 1'!$A$1:$L$44</definedName>
    <definedName name="Z_4DB53354_9304_4D29_9D44_F7F82D0F18C9_.wvu.PrintArea" localSheetId="29" hidden="1">'frei 2'!$A$1:$L$44</definedName>
    <definedName name="Z_4DB53354_9304_4D29_9D44_F7F82D0F18C9_.wvu.PrintArea" localSheetId="30" hidden="1">'frei 3'!$A$1:$L$44</definedName>
    <definedName name="Z_4DB53354_9304_4D29_9D44_F7F82D0F18C9_.wvu.PrintArea" localSheetId="31" hidden="1">'frei 4'!$A$1:$L$44</definedName>
    <definedName name="Z_4DB53354_9304_4D29_9D44_F7F82D0F18C9_.wvu.PrintArea" localSheetId="32" hidden="1">'frei 5'!$A$1:$L$44</definedName>
    <definedName name="Z_4DB53354_9304_4D29_9D44_F7F82D0F18C9_.wvu.PrintArea" localSheetId="3" hidden="1">Kalium!$A$1:$L$44</definedName>
    <definedName name="Z_4DB53354_9304_4D29_9D44_F7F82D0F18C9_.wvu.PrintArea" localSheetId="23" hidden="1">Kupfer!$A$1:$L$44</definedName>
    <definedName name="Z_4DB53354_9304_4D29_9D44_F7F82D0F18C9_.wvu.PrintArea" localSheetId="16" hidden="1">KW!$A$1:$L$44</definedName>
    <definedName name="Z_4DB53354_9304_4D29_9D44_F7F82D0F18C9_.wvu.PrintArea" localSheetId="4" hidden="1">Magnesium!$A$1:$L$44</definedName>
    <definedName name="Z_4DB53354_9304_4D29_9D44_F7F82D0F18C9_.wvu.PrintArea" localSheetId="24" hidden="1">Molybdän!$A$1:$L$44</definedName>
    <definedName name="Z_4DB53354_9304_4D29_9D44_F7F82D0F18C9_.wvu.PrintArea" localSheetId="2" hidden="1">Natrium!$A$1:$L$44</definedName>
    <definedName name="Z_4DB53354_9304_4D29_9D44_F7F82D0F18C9_.wvu.PrintArea" localSheetId="6" hidden="1">Ngesamt!$A$1:$L$44</definedName>
    <definedName name="Z_4DB53354_9304_4D29_9D44_F7F82D0F18C9_.wvu.PrintArea" localSheetId="25" hidden="1">Nickel!$A$1:$L$44</definedName>
    <definedName name="Z_4DB53354_9304_4D29_9D44_F7F82D0F18C9_.wvu.PrintArea" localSheetId="7" hidden="1">Nitrat!$A$1:$L$44</definedName>
    <definedName name="Z_4DB53354_9304_4D29_9D44_F7F82D0F18C9_.wvu.PrintArea" localSheetId="17" hidden="1">PAK!$A$1:$L$44</definedName>
    <definedName name="Z_4DB53354_9304_4D29_9D44_F7F82D0F18C9_.wvu.PrintArea" localSheetId="0" hidden="1">pH!$A$1:$L$44</definedName>
    <definedName name="Z_4DB53354_9304_4D29_9D44_F7F82D0F18C9_.wvu.PrintArea" localSheetId="26" hidden="1">Quecksilber!$A$1:$L$44</definedName>
    <definedName name="Z_4DB53354_9304_4D29_9D44_F7F82D0F18C9_.wvu.PrintArea" localSheetId="9" hidden="1">Sulfat!$A$1:$L$44</definedName>
    <definedName name="Z_4DB53354_9304_4D29_9D44_F7F82D0F18C9_.wvu.PrintArea" localSheetId="11" hidden="1">TOC!$A$1:$L$44</definedName>
    <definedName name="Z_4DB53354_9304_4D29_9D44_F7F82D0F18C9_.wvu.PrintArea" localSheetId="33" hidden="1">'trend 1'!$A$1:$L$44</definedName>
    <definedName name="Z_4DB53354_9304_4D29_9D44_F7F82D0F18C9_.wvu.PrintArea" localSheetId="34" hidden="1">'trend 2'!$A$1:$L$44</definedName>
    <definedName name="Z_4DB53354_9304_4D29_9D44_F7F82D0F18C9_.wvu.PrintArea" localSheetId="35" hidden="1">'trend 3'!$A$1:$L$44</definedName>
    <definedName name="Z_4DB53354_9304_4D29_9D44_F7F82D0F18C9_.wvu.PrintArea" localSheetId="36" hidden="1">'trend 4'!$A$1:$L$44</definedName>
    <definedName name="Z_4DB53354_9304_4D29_9D44_F7F82D0F18C9_.wvu.PrintArea" localSheetId="27" hidden="1">Zink!$A$1:$L$44</definedName>
  </definedNames>
  <calcPr calcId="162913"/>
  <customWorkbookViews>
    <customWorkbookView name="Michael Tiedt - Persönliche Ansicht" guid="{4DB53354-9304-4D29-9D44-F7F82D0F18C9}" mergeInterval="0" personalView="1" maximized="1" windowWidth="1263" windowHeight="822" tabRatio="692" activeSheetId="10"/>
  </customWorkbookViews>
</workbook>
</file>

<file path=xl/calcChain.xml><?xml version="1.0" encoding="utf-8"?>
<calcChain xmlns="http://schemas.openxmlformats.org/spreadsheetml/2006/main">
  <c r="S252" i="122" l="1"/>
  <c r="R252" i="122"/>
  <c r="S251" i="122"/>
  <c r="R251" i="122"/>
  <c r="S250" i="122"/>
  <c r="R250" i="122"/>
  <c r="S249" i="122"/>
  <c r="R249" i="122"/>
  <c r="S248" i="122"/>
  <c r="R248" i="122"/>
  <c r="S247" i="122"/>
  <c r="R247" i="122"/>
  <c r="S246" i="122"/>
  <c r="R246" i="122"/>
  <c r="S245" i="122"/>
  <c r="R245" i="122"/>
  <c r="S244" i="122"/>
  <c r="R244" i="122"/>
  <c r="S243" i="122"/>
  <c r="R243" i="122"/>
  <c r="S242" i="122"/>
  <c r="R242" i="122"/>
  <c r="S241" i="122"/>
  <c r="R241" i="122"/>
  <c r="S240" i="122"/>
  <c r="R240" i="122"/>
  <c r="S239" i="122"/>
  <c r="R239" i="122"/>
  <c r="S238" i="122"/>
  <c r="R238" i="122"/>
  <c r="S237" i="122"/>
  <c r="R237" i="122"/>
  <c r="S236" i="122"/>
  <c r="R236" i="122"/>
  <c r="S235" i="122"/>
  <c r="R235" i="122"/>
  <c r="S234" i="122"/>
  <c r="R234" i="122"/>
  <c r="S233" i="122"/>
  <c r="R233" i="122"/>
  <c r="S232" i="122"/>
  <c r="R232" i="122"/>
  <c r="S231" i="122"/>
  <c r="R231" i="122"/>
  <c r="S230" i="122"/>
  <c r="R230" i="122"/>
  <c r="S229" i="122"/>
  <c r="R229" i="122"/>
  <c r="S228" i="122"/>
  <c r="R228" i="122"/>
  <c r="S227" i="122"/>
  <c r="R227" i="122"/>
  <c r="S226" i="122"/>
  <c r="R226" i="122"/>
  <c r="S225" i="122"/>
  <c r="R225" i="122"/>
  <c r="S224" i="122"/>
  <c r="R224" i="122"/>
  <c r="S223" i="122"/>
  <c r="R223" i="122"/>
  <c r="S222" i="122"/>
  <c r="R222" i="122"/>
  <c r="S221" i="122"/>
  <c r="R221" i="122"/>
  <c r="S220" i="122"/>
  <c r="R220" i="122"/>
  <c r="S219" i="122"/>
  <c r="R219" i="122"/>
  <c r="S218" i="122"/>
  <c r="R218" i="122"/>
  <c r="S217" i="122"/>
  <c r="R217" i="122"/>
  <c r="S216" i="122"/>
  <c r="R216" i="122"/>
  <c r="S215" i="122"/>
  <c r="R215" i="122"/>
  <c r="S214" i="122"/>
  <c r="R214" i="122"/>
  <c r="S213" i="122"/>
  <c r="R213" i="122"/>
  <c r="S212" i="122"/>
  <c r="R212" i="122"/>
  <c r="S211" i="122"/>
  <c r="R211" i="122"/>
  <c r="S210" i="122"/>
  <c r="R210" i="122"/>
  <c r="S209" i="122"/>
  <c r="R209" i="122"/>
  <c r="S208" i="122"/>
  <c r="R208" i="122"/>
  <c r="S207" i="122"/>
  <c r="R207" i="122"/>
  <c r="S206" i="122"/>
  <c r="R206" i="122"/>
  <c r="S205" i="122"/>
  <c r="R205" i="122"/>
  <c r="S204" i="122"/>
  <c r="R204" i="122"/>
  <c r="S203" i="122"/>
  <c r="R203" i="122"/>
  <c r="S202" i="122"/>
  <c r="R202" i="122"/>
  <c r="S201" i="122"/>
  <c r="R201" i="122"/>
  <c r="S200" i="122"/>
  <c r="R200" i="122"/>
  <c r="S199" i="122"/>
  <c r="R199" i="122"/>
  <c r="S198" i="122"/>
  <c r="R198" i="122"/>
  <c r="S197" i="122"/>
  <c r="R197" i="122"/>
  <c r="S196" i="122"/>
  <c r="R196" i="122"/>
  <c r="S195" i="122"/>
  <c r="R195" i="122"/>
  <c r="S194" i="122"/>
  <c r="R194" i="122"/>
  <c r="S193" i="122"/>
  <c r="R193" i="122"/>
  <c r="S192" i="122"/>
  <c r="R192" i="122"/>
  <c r="S191" i="122"/>
  <c r="R191" i="122"/>
  <c r="S190" i="122"/>
  <c r="R190" i="122"/>
  <c r="S189" i="122"/>
  <c r="R189" i="122"/>
  <c r="S188" i="122"/>
  <c r="R188" i="122"/>
  <c r="S187" i="122"/>
  <c r="R187" i="122"/>
  <c r="S186" i="122"/>
  <c r="R186" i="122"/>
  <c r="S185" i="122"/>
  <c r="R185" i="122"/>
  <c r="S184" i="122"/>
  <c r="R184" i="122"/>
  <c r="S183" i="122"/>
  <c r="R183" i="122"/>
  <c r="S182" i="122"/>
  <c r="R182" i="122"/>
  <c r="S181" i="122"/>
  <c r="R181" i="122"/>
  <c r="S180" i="122"/>
  <c r="R180" i="122"/>
  <c r="S179" i="122"/>
  <c r="R179" i="122"/>
  <c r="S178" i="122"/>
  <c r="R178" i="122"/>
  <c r="S177" i="122"/>
  <c r="R177" i="122"/>
  <c r="S176" i="122"/>
  <c r="R176" i="122"/>
  <c r="S175" i="122"/>
  <c r="R175" i="122"/>
  <c r="S174" i="122"/>
  <c r="R174" i="122"/>
  <c r="S173" i="122"/>
  <c r="R173" i="122"/>
  <c r="S172" i="122"/>
  <c r="R172" i="122"/>
  <c r="S171" i="122"/>
  <c r="R171" i="122"/>
  <c r="S170" i="122"/>
  <c r="R170" i="122"/>
  <c r="S169" i="122"/>
  <c r="R169" i="122"/>
  <c r="S168" i="122"/>
  <c r="R168" i="122"/>
  <c r="S167" i="122"/>
  <c r="R167" i="122"/>
  <c r="S166" i="122"/>
  <c r="R166" i="122"/>
  <c r="S165" i="122"/>
  <c r="R165" i="122"/>
  <c r="S164" i="122"/>
  <c r="R164" i="122"/>
  <c r="S163" i="122"/>
  <c r="R163" i="122"/>
  <c r="S162" i="122"/>
  <c r="R162" i="122"/>
  <c r="S161" i="122"/>
  <c r="R161" i="122"/>
  <c r="S160" i="122"/>
  <c r="R160" i="122"/>
  <c r="S159" i="122"/>
  <c r="R159" i="122"/>
  <c r="S158" i="122"/>
  <c r="R158" i="122"/>
  <c r="S157" i="122"/>
  <c r="R157" i="122"/>
  <c r="S156" i="122"/>
  <c r="R156" i="122"/>
  <c r="S155" i="122"/>
  <c r="R155" i="122"/>
  <c r="S154" i="122"/>
  <c r="R154" i="122"/>
  <c r="S153" i="122"/>
  <c r="R153" i="122"/>
  <c r="S152" i="122"/>
  <c r="R152" i="122"/>
  <c r="S151" i="122"/>
  <c r="R151" i="122"/>
  <c r="S150" i="122"/>
  <c r="R150" i="122"/>
  <c r="S149" i="122"/>
  <c r="R149" i="122"/>
  <c r="S148" i="122"/>
  <c r="R148" i="122"/>
  <c r="S147" i="122"/>
  <c r="R147" i="122"/>
  <c r="S146" i="122"/>
  <c r="R146" i="122"/>
  <c r="S145" i="122"/>
  <c r="R145" i="122"/>
  <c r="S144" i="122"/>
  <c r="R144" i="122"/>
  <c r="S143" i="122"/>
  <c r="R143" i="122"/>
  <c r="S142" i="122"/>
  <c r="R142" i="122"/>
  <c r="S141" i="122"/>
  <c r="R141" i="122"/>
  <c r="S140" i="122"/>
  <c r="R140" i="122"/>
  <c r="S139" i="122"/>
  <c r="R139" i="122"/>
  <c r="S138" i="122"/>
  <c r="R138" i="122"/>
  <c r="S137" i="122"/>
  <c r="R137" i="122"/>
  <c r="S136" i="122"/>
  <c r="R136" i="122"/>
  <c r="S135" i="122"/>
  <c r="R135" i="122"/>
  <c r="S134" i="122"/>
  <c r="R134" i="122"/>
  <c r="S133" i="122"/>
  <c r="R133" i="122"/>
  <c r="S132" i="122"/>
  <c r="R132" i="122"/>
  <c r="S131" i="122"/>
  <c r="R131" i="122"/>
  <c r="S130" i="122"/>
  <c r="R130" i="122"/>
  <c r="S129" i="122"/>
  <c r="R129" i="122"/>
  <c r="S128" i="122"/>
  <c r="R128" i="122"/>
  <c r="S127" i="122"/>
  <c r="R127" i="122"/>
  <c r="S126" i="122"/>
  <c r="R126" i="122"/>
  <c r="S125" i="122"/>
  <c r="R125" i="122"/>
  <c r="S124" i="122"/>
  <c r="R124" i="122"/>
  <c r="S123" i="122"/>
  <c r="R123" i="122"/>
  <c r="S122" i="122"/>
  <c r="R122" i="122"/>
  <c r="S121" i="122"/>
  <c r="R121" i="122"/>
  <c r="S120" i="122"/>
  <c r="R120" i="122"/>
  <c r="S119" i="122"/>
  <c r="R119" i="122"/>
  <c r="S118" i="122"/>
  <c r="R118" i="122"/>
  <c r="S117" i="122"/>
  <c r="R117" i="122"/>
  <c r="S116" i="122"/>
  <c r="R116" i="122"/>
  <c r="S115" i="122"/>
  <c r="R115" i="122"/>
  <c r="S114" i="122"/>
  <c r="R114" i="122"/>
  <c r="B114" i="122"/>
  <c r="S113" i="122"/>
  <c r="R113" i="122"/>
  <c r="S112" i="122"/>
  <c r="R112" i="122"/>
  <c r="S111" i="122"/>
  <c r="R111" i="122"/>
  <c r="S110" i="122"/>
  <c r="R110" i="122"/>
  <c r="S109" i="122"/>
  <c r="R109" i="122"/>
  <c r="S108" i="122"/>
  <c r="R108" i="122"/>
  <c r="S107" i="122"/>
  <c r="R107" i="122"/>
  <c r="S106" i="122"/>
  <c r="R106" i="122"/>
  <c r="B106" i="122"/>
  <c r="A106" i="122"/>
  <c r="S105" i="122"/>
  <c r="R105" i="122"/>
  <c r="B105" i="122"/>
  <c r="A105" i="122"/>
  <c r="S104" i="122"/>
  <c r="R104" i="122"/>
  <c r="B104" i="122"/>
  <c r="S103" i="122"/>
  <c r="R103" i="122"/>
  <c r="F103" i="122"/>
  <c r="C103" i="122"/>
  <c r="S102" i="122"/>
  <c r="R102" i="122"/>
  <c r="F102" i="122"/>
  <c r="B102" i="122"/>
  <c r="S101" i="122"/>
  <c r="R101" i="122"/>
  <c r="S100" i="122"/>
  <c r="R100" i="122"/>
  <c r="S99" i="122"/>
  <c r="R99" i="122"/>
  <c r="S98" i="122"/>
  <c r="R98" i="122"/>
  <c r="S97" i="122"/>
  <c r="R97" i="122"/>
  <c r="S96" i="122"/>
  <c r="R96" i="122"/>
  <c r="S95" i="122"/>
  <c r="R95" i="122"/>
  <c r="S94" i="122"/>
  <c r="R94" i="122"/>
  <c r="S93" i="122"/>
  <c r="R93" i="122"/>
  <c r="S92" i="122"/>
  <c r="R92" i="122"/>
  <c r="S91" i="122"/>
  <c r="R91" i="122"/>
  <c r="S90" i="122"/>
  <c r="R90" i="122"/>
  <c r="S89" i="122"/>
  <c r="R89" i="122"/>
  <c r="S88" i="122"/>
  <c r="R88" i="122"/>
  <c r="S87" i="122"/>
  <c r="R87" i="122"/>
  <c r="S86" i="122"/>
  <c r="R86" i="122"/>
  <c r="S85" i="122"/>
  <c r="R85" i="122"/>
  <c r="S84" i="122"/>
  <c r="R84" i="122"/>
  <c r="S83" i="122"/>
  <c r="R83" i="122"/>
  <c r="S82" i="122"/>
  <c r="R82" i="122"/>
  <c r="S81" i="122"/>
  <c r="R81" i="122"/>
  <c r="S80" i="122"/>
  <c r="R80" i="122"/>
  <c r="S79" i="122"/>
  <c r="R79" i="122"/>
  <c r="S78" i="122"/>
  <c r="R78" i="122"/>
  <c r="S77" i="122"/>
  <c r="R77" i="122"/>
  <c r="S76" i="122"/>
  <c r="R76" i="122"/>
  <c r="S75" i="122"/>
  <c r="R75" i="122"/>
  <c r="S74" i="122"/>
  <c r="R74" i="122"/>
  <c r="S73" i="122"/>
  <c r="R73" i="122"/>
  <c r="S72" i="122"/>
  <c r="R72" i="122"/>
  <c r="S71" i="122"/>
  <c r="R71" i="122"/>
  <c r="S70" i="122"/>
  <c r="R70" i="122"/>
  <c r="S69" i="122"/>
  <c r="R69" i="122"/>
  <c r="S68" i="122"/>
  <c r="R68" i="122"/>
  <c r="S67" i="122"/>
  <c r="R67" i="122"/>
  <c r="S66" i="122"/>
  <c r="R66" i="122"/>
  <c r="S65" i="122"/>
  <c r="R65" i="122"/>
  <c r="S64" i="122"/>
  <c r="R64" i="122"/>
  <c r="S63" i="122"/>
  <c r="R63" i="122"/>
  <c r="S62" i="122"/>
  <c r="R62" i="122"/>
  <c r="S61" i="122"/>
  <c r="R61" i="122"/>
  <c r="S60" i="122"/>
  <c r="R60" i="122"/>
  <c r="S59" i="122"/>
  <c r="R59" i="122"/>
  <c r="S58" i="122"/>
  <c r="R58" i="122"/>
  <c r="S57" i="122"/>
  <c r="R57" i="122"/>
  <c r="S56" i="122"/>
  <c r="R56" i="122"/>
  <c r="S55" i="122"/>
  <c r="R55" i="122"/>
  <c r="S54" i="122"/>
  <c r="R54" i="122"/>
  <c r="S53" i="122"/>
  <c r="R53" i="122"/>
  <c r="S52" i="122"/>
  <c r="R52" i="122"/>
  <c r="S51" i="122"/>
  <c r="R51" i="122"/>
  <c r="S50" i="122"/>
  <c r="R50" i="122"/>
  <c r="C36" i="122"/>
  <c r="B36" i="122"/>
  <c r="B18" i="122"/>
  <c r="R38" i="122" s="1"/>
  <c r="S38" i="122" s="1"/>
  <c r="B17" i="122"/>
  <c r="B16" i="122"/>
  <c r="D113" i="122" s="1"/>
  <c r="B12" i="122"/>
  <c r="B11" i="122"/>
  <c r="B10" i="122"/>
  <c r="B9" i="122"/>
  <c r="D111" i="122" s="1"/>
  <c r="B4" i="122"/>
  <c r="B3" i="122"/>
  <c r="S252" i="121"/>
  <c r="R252" i="121"/>
  <c r="S251" i="121"/>
  <c r="R251" i="121"/>
  <c r="S250" i="121"/>
  <c r="R250" i="121"/>
  <c r="S249" i="121"/>
  <c r="R249" i="121"/>
  <c r="S248" i="121"/>
  <c r="R248" i="121"/>
  <c r="S247" i="121"/>
  <c r="R247" i="121"/>
  <c r="S246" i="121"/>
  <c r="R246" i="121"/>
  <c r="S245" i="121"/>
  <c r="R245" i="121"/>
  <c r="S244" i="121"/>
  <c r="R244" i="121"/>
  <c r="S243" i="121"/>
  <c r="R243" i="121"/>
  <c r="S242" i="121"/>
  <c r="R242" i="121"/>
  <c r="S241" i="121"/>
  <c r="R241" i="121"/>
  <c r="S240" i="121"/>
  <c r="R240" i="121"/>
  <c r="S239" i="121"/>
  <c r="R239" i="121"/>
  <c r="S238" i="121"/>
  <c r="R238" i="121"/>
  <c r="S237" i="121"/>
  <c r="R237" i="121"/>
  <c r="S236" i="121"/>
  <c r="R236" i="121"/>
  <c r="S235" i="121"/>
  <c r="R235" i="121"/>
  <c r="S234" i="121"/>
  <c r="R234" i="121"/>
  <c r="S233" i="121"/>
  <c r="R233" i="121"/>
  <c r="S232" i="121"/>
  <c r="R232" i="121"/>
  <c r="S231" i="121"/>
  <c r="R231" i="121"/>
  <c r="S230" i="121"/>
  <c r="R230" i="121"/>
  <c r="S229" i="121"/>
  <c r="R229" i="121"/>
  <c r="S228" i="121"/>
  <c r="R228" i="121"/>
  <c r="S227" i="121"/>
  <c r="R227" i="121"/>
  <c r="S226" i="121"/>
  <c r="R226" i="121"/>
  <c r="S225" i="121"/>
  <c r="R225" i="121"/>
  <c r="S224" i="121"/>
  <c r="R224" i="121"/>
  <c r="S223" i="121"/>
  <c r="R223" i="121"/>
  <c r="S222" i="121"/>
  <c r="R222" i="121"/>
  <c r="S221" i="121"/>
  <c r="R221" i="121"/>
  <c r="S220" i="121"/>
  <c r="R220" i="121"/>
  <c r="S219" i="121"/>
  <c r="R219" i="121"/>
  <c r="S218" i="121"/>
  <c r="R218" i="121"/>
  <c r="S217" i="121"/>
  <c r="R217" i="121"/>
  <c r="S216" i="121"/>
  <c r="R216" i="121"/>
  <c r="S215" i="121"/>
  <c r="R215" i="121"/>
  <c r="S214" i="121"/>
  <c r="R214" i="121"/>
  <c r="S213" i="121"/>
  <c r="R213" i="121"/>
  <c r="S212" i="121"/>
  <c r="R212" i="121"/>
  <c r="S211" i="121"/>
  <c r="R211" i="121"/>
  <c r="S210" i="121"/>
  <c r="R210" i="121"/>
  <c r="S209" i="121"/>
  <c r="R209" i="121"/>
  <c r="S208" i="121"/>
  <c r="R208" i="121"/>
  <c r="S207" i="121"/>
  <c r="R207" i="121"/>
  <c r="S206" i="121"/>
  <c r="R206" i="121"/>
  <c r="S205" i="121"/>
  <c r="R205" i="121"/>
  <c r="S204" i="121"/>
  <c r="R204" i="121"/>
  <c r="S203" i="121"/>
  <c r="R203" i="121"/>
  <c r="S202" i="121"/>
  <c r="R202" i="121"/>
  <c r="S201" i="121"/>
  <c r="R201" i="121"/>
  <c r="S200" i="121"/>
  <c r="R200" i="121"/>
  <c r="S199" i="121"/>
  <c r="R199" i="121"/>
  <c r="S198" i="121"/>
  <c r="R198" i="121"/>
  <c r="S197" i="121"/>
  <c r="R197" i="121"/>
  <c r="S196" i="121"/>
  <c r="R196" i="121"/>
  <c r="S195" i="121"/>
  <c r="R195" i="121"/>
  <c r="S194" i="121"/>
  <c r="R194" i="121"/>
  <c r="S193" i="121"/>
  <c r="R193" i="121"/>
  <c r="S192" i="121"/>
  <c r="R192" i="121"/>
  <c r="S191" i="121"/>
  <c r="R191" i="121"/>
  <c r="S190" i="121"/>
  <c r="R190" i="121"/>
  <c r="S189" i="121"/>
  <c r="R189" i="121"/>
  <c r="S188" i="121"/>
  <c r="R188" i="121"/>
  <c r="S187" i="121"/>
  <c r="R187" i="121"/>
  <c r="S186" i="121"/>
  <c r="R186" i="121"/>
  <c r="S185" i="121"/>
  <c r="R185" i="121"/>
  <c r="S184" i="121"/>
  <c r="R184" i="121"/>
  <c r="S183" i="121"/>
  <c r="R183" i="121"/>
  <c r="S182" i="121"/>
  <c r="R182" i="121"/>
  <c r="S181" i="121"/>
  <c r="R181" i="121"/>
  <c r="S180" i="121"/>
  <c r="R180" i="121"/>
  <c r="S179" i="121"/>
  <c r="R179" i="121"/>
  <c r="S178" i="121"/>
  <c r="R178" i="121"/>
  <c r="S177" i="121"/>
  <c r="R177" i="121"/>
  <c r="S176" i="121"/>
  <c r="R176" i="121"/>
  <c r="S175" i="121"/>
  <c r="R175" i="121"/>
  <c r="S174" i="121"/>
  <c r="R174" i="121"/>
  <c r="S173" i="121"/>
  <c r="R173" i="121"/>
  <c r="S172" i="121"/>
  <c r="R172" i="121"/>
  <c r="S171" i="121"/>
  <c r="R171" i="121"/>
  <c r="S170" i="121"/>
  <c r="R170" i="121"/>
  <c r="S169" i="121"/>
  <c r="R169" i="121"/>
  <c r="S168" i="121"/>
  <c r="R168" i="121"/>
  <c r="S167" i="121"/>
  <c r="R167" i="121"/>
  <c r="S166" i="121"/>
  <c r="R166" i="121"/>
  <c r="S165" i="121"/>
  <c r="R165" i="121"/>
  <c r="S164" i="121"/>
  <c r="R164" i="121"/>
  <c r="S163" i="121"/>
  <c r="R163" i="121"/>
  <c r="S162" i="121"/>
  <c r="R162" i="121"/>
  <c r="S161" i="121"/>
  <c r="R161" i="121"/>
  <c r="S160" i="121"/>
  <c r="R160" i="121"/>
  <c r="S159" i="121"/>
  <c r="R159" i="121"/>
  <c r="S158" i="121"/>
  <c r="R158" i="121"/>
  <c r="S157" i="121"/>
  <c r="R157" i="121"/>
  <c r="S156" i="121"/>
  <c r="R156" i="121"/>
  <c r="S155" i="121"/>
  <c r="R155" i="121"/>
  <c r="S154" i="121"/>
  <c r="R154" i="121"/>
  <c r="S153" i="121"/>
  <c r="R153" i="121"/>
  <c r="S152" i="121"/>
  <c r="R152" i="121"/>
  <c r="S151" i="121"/>
  <c r="R151" i="121"/>
  <c r="S150" i="121"/>
  <c r="R150" i="121"/>
  <c r="S149" i="121"/>
  <c r="R149" i="121"/>
  <c r="S148" i="121"/>
  <c r="R148" i="121"/>
  <c r="S147" i="121"/>
  <c r="R147" i="121"/>
  <c r="S146" i="121"/>
  <c r="R146" i="121"/>
  <c r="S145" i="121"/>
  <c r="R145" i="121"/>
  <c r="S144" i="121"/>
  <c r="R144" i="121"/>
  <c r="S143" i="121"/>
  <c r="R143" i="121"/>
  <c r="S142" i="121"/>
  <c r="R142" i="121"/>
  <c r="S141" i="121"/>
  <c r="R141" i="121"/>
  <c r="S140" i="121"/>
  <c r="R140" i="121"/>
  <c r="S139" i="121"/>
  <c r="R139" i="121"/>
  <c r="S138" i="121"/>
  <c r="R138" i="121"/>
  <c r="S137" i="121"/>
  <c r="R137" i="121"/>
  <c r="S136" i="121"/>
  <c r="R136" i="121"/>
  <c r="S135" i="121"/>
  <c r="R135" i="121"/>
  <c r="S134" i="121"/>
  <c r="R134" i="121"/>
  <c r="S133" i="121"/>
  <c r="R133" i="121"/>
  <c r="S132" i="121"/>
  <c r="R132" i="121"/>
  <c r="S131" i="121"/>
  <c r="R131" i="121"/>
  <c r="S130" i="121"/>
  <c r="R130" i="121"/>
  <c r="S129" i="121"/>
  <c r="R129" i="121"/>
  <c r="S128" i="121"/>
  <c r="R128" i="121"/>
  <c r="S127" i="121"/>
  <c r="R127" i="121"/>
  <c r="S126" i="121"/>
  <c r="R126" i="121"/>
  <c r="S125" i="121"/>
  <c r="R125" i="121"/>
  <c r="S124" i="121"/>
  <c r="R124" i="121"/>
  <c r="S123" i="121"/>
  <c r="R123" i="121"/>
  <c r="S122" i="121"/>
  <c r="R122" i="121"/>
  <c r="S121" i="121"/>
  <c r="R121" i="121"/>
  <c r="S120" i="121"/>
  <c r="R120" i="121"/>
  <c r="S119" i="121"/>
  <c r="R119" i="121"/>
  <c r="S118" i="121"/>
  <c r="R118" i="121"/>
  <c r="S117" i="121"/>
  <c r="R117" i="121"/>
  <c r="S116" i="121"/>
  <c r="R116" i="121"/>
  <c r="S115" i="121"/>
  <c r="R115" i="121"/>
  <c r="S114" i="121"/>
  <c r="R114" i="121"/>
  <c r="B114" i="121"/>
  <c r="S113" i="121"/>
  <c r="R113" i="121"/>
  <c r="S112" i="121"/>
  <c r="R112" i="121"/>
  <c r="S111" i="121"/>
  <c r="R111" i="121"/>
  <c r="S110" i="121"/>
  <c r="R110" i="121"/>
  <c r="S109" i="121"/>
  <c r="R109" i="121"/>
  <c r="S108" i="121"/>
  <c r="R108" i="121"/>
  <c r="S107" i="121"/>
  <c r="R107" i="121"/>
  <c r="S106" i="121"/>
  <c r="R106" i="121"/>
  <c r="B106" i="121"/>
  <c r="A106" i="121"/>
  <c r="S105" i="121"/>
  <c r="R105" i="121"/>
  <c r="B105" i="121"/>
  <c r="A105" i="121"/>
  <c r="S104" i="121"/>
  <c r="R104" i="121"/>
  <c r="B104" i="121"/>
  <c r="S103" i="121"/>
  <c r="R103" i="121"/>
  <c r="F103" i="121"/>
  <c r="C103" i="121"/>
  <c r="S102" i="121"/>
  <c r="R102" i="121"/>
  <c r="F102" i="121"/>
  <c r="B102" i="121"/>
  <c r="S101" i="121"/>
  <c r="R101" i="121"/>
  <c r="S100" i="121"/>
  <c r="R100" i="121"/>
  <c r="S99" i="121"/>
  <c r="R99" i="121"/>
  <c r="S98" i="121"/>
  <c r="R98" i="121"/>
  <c r="S97" i="121"/>
  <c r="R97" i="121"/>
  <c r="S96" i="121"/>
  <c r="R96" i="121"/>
  <c r="S95" i="121"/>
  <c r="R95" i="121"/>
  <c r="S94" i="121"/>
  <c r="R94" i="121"/>
  <c r="S93" i="121"/>
  <c r="R93" i="121"/>
  <c r="S92" i="121"/>
  <c r="R92" i="121"/>
  <c r="S91" i="121"/>
  <c r="R91" i="121"/>
  <c r="S90" i="121"/>
  <c r="R90" i="121"/>
  <c r="S89" i="121"/>
  <c r="R89" i="121"/>
  <c r="S88" i="121"/>
  <c r="R88" i="121"/>
  <c r="S87" i="121"/>
  <c r="R87" i="121"/>
  <c r="S86" i="121"/>
  <c r="R86" i="121"/>
  <c r="S85" i="121"/>
  <c r="R85" i="121"/>
  <c r="S84" i="121"/>
  <c r="R84" i="121"/>
  <c r="S83" i="121"/>
  <c r="R83" i="121"/>
  <c r="S82" i="121"/>
  <c r="R82" i="121"/>
  <c r="S81" i="121"/>
  <c r="R81" i="121"/>
  <c r="S80" i="121"/>
  <c r="R80" i="121"/>
  <c r="S79" i="121"/>
  <c r="R79" i="121"/>
  <c r="S78" i="121"/>
  <c r="R78" i="121"/>
  <c r="S77" i="121"/>
  <c r="R77" i="121"/>
  <c r="S76" i="121"/>
  <c r="R76" i="121"/>
  <c r="S75" i="121"/>
  <c r="R75" i="121"/>
  <c r="S74" i="121"/>
  <c r="R74" i="121"/>
  <c r="S73" i="121"/>
  <c r="R73" i="121"/>
  <c r="S72" i="121"/>
  <c r="R72" i="121"/>
  <c r="S71" i="121"/>
  <c r="R71" i="121"/>
  <c r="S70" i="121"/>
  <c r="R70" i="121"/>
  <c r="S69" i="121"/>
  <c r="R69" i="121"/>
  <c r="S68" i="121"/>
  <c r="R68" i="121"/>
  <c r="S67" i="121"/>
  <c r="R67" i="121"/>
  <c r="S66" i="121"/>
  <c r="R66" i="121"/>
  <c r="S65" i="121"/>
  <c r="R65" i="121"/>
  <c r="S64" i="121"/>
  <c r="R64" i="121"/>
  <c r="S63" i="121"/>
  <c r="R63" i="121"/>
  <c r="S62" i="121"/>
  <c r="R62" i="121"/>
  <c r="S61" i="121"/>
  <c r="R61" i="121"/>
  <c r="S60" i="121"/>
  <c r="R60" i="121"/>
  <c r="S59" i="121"/>
  <c r="R59" i="121"/>
  <c r="S58" i="121"/>
  <c r="R58" i="121"/>
  <c r="S57" i="121"/>
  <c r="R57" i="121"/>
  <c r="S56" i="121"/>
  <c r="R56" i="121"/>
  <c r="S55" i="121"/>
  <c r="R55" i="121"/>
  <c r="S54" i="121"/>
  <c r="R54" i="121"/>
  <c r="S53" i="121"/>
  <c r="R53" i="121"/>
  <c r="S52" i="121"/>
  <c r="R52" i="121"/>
  <c r="S51" i="121"/>
  <c r="R51" i="121"/>
  <c r="S50" i="121"/>
  <c r="R50" i="121"/>
  <c r="C36" i="121"/>
  <c r="B36" i="121"/>
  <c r="B18" i="121"/>
  <c r="R9" i="121" s="1"/>
  <c r="S9" i="121" s="1"/>
  <c r="B17" i="121"/>
  <c r="B16" i="121"/>
  <c r="D113" i="121" s="1"/>
  <c r="B12" i="121"/>
  <c r="B11" i="121"/>
  <c r="B10" i="121"/>
  <c r="B9" i="121"/>
  <c r="E111" i="121" s="1"/>
  <c r="E114" i="121" s="1"/>
  <c r="B4" i="121"/>
  <c r="B3" i="121"/>
  <c r="S252" i="120"/>
  <c r="R252" i="120"/>
  <c r="S251" i="120"/>
  <c r="R251" i="120"/>
  <c r="S250" i="120"/>
  <c r="R250" i="120"/>
  <c r="S249" i="120"/>
  <c r="R249" i="120"/>
  <c r="S248" i="120"/>
  <c r="R248" i="120"/>
  <c r="S247" i="120"/>
  <c r="R247" i="120"/>
  <c r="S246" i="120"/>
  <c r="R246" i="120"/>
  <c r="S245" i="120"/>
  <c r="R245" i="120"/>
  <c r="S244" i="120"/>
  <c r="R244" i="120"/>
  <c r="S243" i="120"/>
  <c r="R243" i="120"/>
  <c r="S242" i="120"/>
  <c r="R242" i="120"/>
  <c r="S241" i="120"/>
  <c r="R241" i="120"/>
  <c r="S240" i="120"/>
  <c r="R240" i="120"/>
  <c r="S239" i="120"/>
  <c r="R239" i="120"/>
  <c r="S238" i="120"/>
  <c r="R238" i="120"/>
  <c r="S237" i="120"/>
  <c r="R237" i="120"/>
  <c r="S236" i="120"/>
  <c r="R236" i="120"/>
  <c r="S235" i="120"/>
  <c r="R235" i="120"/>
  <c r="S234" i="120"/>
  <c r="R234" i="120"/>
  <c r="S233" i="120"/>
  <c r="R233" i="120"/>
  <c r="S232" i="120"/>
  <c r="R232" i="120"/>
  <c r="S231" i="120"/>
  <c r="R231" i="120"/>
  <c r="S230" i="120"/>
  <c r="R230" i="120"/>
  <c r="S229" i="120"/>
  <c r="R229" i="120"/>
  <c r="S228" i="120"/>
  <c r="R228" i="120"/>
  <c r="S227" i="120"/>
  <c r="R227" i="120"/>
  <c r="S226" i="120"/>
  <c r="R226" i="120"/>
  <c r="S225" i="120"/>
  <c r="R225" i="120"/>
  <c r="S224" i="120"/>
  <c r="R224" i="120"/>
  <c r="S223" i="120"/>
  <c r="R223" i="120"/>
  <c r="S222" i="120"/>
  <c r="R222" i="120"/>
  <c r="S221" i="120"/>
  <c r="R221" i="120"/>
  <c r="S220" i="120"/>
  <c r="R220" i="120"/>
  <c r="S219" i="120"/>
  <c r="R219" i="120"/>
  <c r="S218" i="120"/>
  <c r="R218" i="120"/>
  <c r="S217" i="120"/>
  <c r="R217" i="120"/>
  <c r="S216" i="120"/>
  <c r="R216" i="120"/>
  <c r="S215" i="120"/>
  <c r="R215" i="120"/>
  <c r="S214" i="120"/>
  <c r="R214" i="120"/>
  <c r="S213" i="120"/>
  <c r="R213" i="120"/>
  <c r="S212" i="120"/>
  <c r="R212" i="120"/>
  <c r="S211" i="120"/>
  <c r="R211" i="120"/>
  <c r="S210" i="120"/>
  <c r="R210" i="120"/>
  <c r="S209" i="120"/>
  <c r="R209" i="120"/>
  <c r="S208" i="120"/>
  <c r="R208" i="120"/>
  <c r="S207" i="120"/>
  <c r="R207" i="120"/>
  <c r="S206" i="120"/>
  <c r="R206" i="120"/>
  <c r="S205" i="120"/>
  <c r="R205" i="120"/>
  <c r="S204" i="120"/>
  <c r="R204" i="120"/>
  <c r="S203" i="120"/>
  <c r="R203" i="120"/>
  <c r="S202" i="120"/>
  <c r="R202" i="120"/>
  <c r="S201" i="120"/>
  <c r="R201" i="120"/>
  <c r="S200" i="120"/>
  <c r="R200" i="120"/>
  <c r="S199" i="120"/>
  <c r="R199" i="120"/>
  <c r="S198" i="120"/>
  <c r="R198" i="120"/>
  <c r="S197" i="120"/>
  <c r="R197" i="120"/>
  <c r="S196" i="120"/>
  <c r="R196" i="120"/>
  <c r="S195" i="120"/>
  <c r="R195" i="120"/>
  <c r="S194" i="120"/>
  <c r="R194" i="120"/>
  <c r="S193" i="120"/>
  <c r="R193" i="120"/>
  <c r="S192" i="120"/>
  <c r="R192" i="120"/>
  <c r="S191" i="120"/>
  <c r="R191" i="120"/>
  <c r="S190" i="120"/>
  <c r="R190" i="120"/>
  <c r="S189" i="120"/>
  <c r="R189" i="120"/>
  <c r="S188" i="120"/>
  <c r="R188" i="120"/>
  <c r="S187" i="120"/>
  <c r="R187" i="120"/>
  <c r="S186" i="120"/>
  <c r="R186" i="120"/>
  <c r="S185" i="120"/>
  <c r="R185" i="120"/>
  <c r="S184" i="120"/>
  <c r="R184" i="120"/>
  <c r="S183" i="120"/>
  <c r="R183" i="120"/>
  <c r="S182" i="120"/>
  <c r="R182" i="120"/>
  <c r="S181" i="120"/>
  <c r="R181" i="120"/>
  <c r="S180" i="120"/>
  <c r="R180" i="120"/>
  <c r="S179" i="120"/>
  <c r="R179" i="120"/>
  <c r="S178" i="120"/>
  <c r="R178" i="120"/>
  <c r="S177" i="120"/>
  <c r="R177" i="120"/>
  <c r="S176" i="120"/>
  <c r="R176" i="120"/>
  <c r="S175" i="120"/>
  <c r="R175" i="120"/>
  <c r="S174" i="120"/>
  <c r="R174" i="120"/>
  <c r="S173" i="120"/>
  <c r="R173" i="120"/>
  <c r="S172" i="120"/>
  <c r="R172" i="120"/>
  <c r="S171" i="120"/>
  <c r="R171" i="120"/>
  <c r="S170" i="120"/>
  <c r="R170" i="120"/>
  <c r="S169" i="120"/>
  <c r="R169" i="120"/>
  <c r="S168" i="120"/>
  <c r="R168" i="120"/>
  <c r="S167" i="120"/>
  <c r="R167" i="120"/>
  <c r="S166" i="120"/>
  <c r="R166" i="120"/>
  <c r="S165" i="120"/>
  <c r="R165" i="120"/>
  <c r="S164" i="120"/>
  <c r="R164" i="120"/>
  <c r="S163" i="120"/>
  <c r="R163" i="120"/>
  <c r="S162" i="120"/>
  <c r="R162" i="120"/>
  <c r="S161" i="120"/>
  <c r="R161" i="120"/>
  <c r="S160" i="120"/>
  <c r="R160" i="120"/>
  <c r="S159" i="120"/>
  <c r="R159" i="120"/>
  <c r="S158" i="120"/>
  <c r="R158" i="120"/>
  <c r="S157" i="120"/>
  <c r="R157" i="120"/>
  <c r="S156" i="120"/>
  <c r="R156" i="120"/>
  <c r="S155" i="120"/>
  <c r="R155" i="120"/>
  <c r="S154" i="120"/>
  <c r="R154" i="120"/>
  <c r="S153" i="120"/>
  <c r="R153" i="120"/>
  <c r="S152" i="120"/>
  <c r="R152" i="120"/>
  <c r="S151" i="120"/>
  <c r="R151" i="120"/>
  <c r="S150" i="120"/>
  <c r="R150" i="120"/>
  <c r="S149" i="120"/>
  <c r="R149" i="120"/>
  <c r="S148" i="120"/>
  <c r="R148" i="120"/>
  <c r="S147" i="120"/>
  <c r="R147" i="120"/>
  <c r="S146" i="120"/>
  <c r="R146" i="120"/>
  <c r="S145" i="120"/>
  <c r="R145" i="120"/>
  <c r="S144" i="120"/>
  <c r="R144" i="120"/>
  <c r="S143" i="120"/>
  <c r="R143" i="120"/>
  <c r="S142" i="120"/>
  <c r="R142" i="120"/>
  <c r="S141" i="120"/>
  <c r="R141" i="120"/>
  <c r="S140" i="120"/>
  <c r="R140" i="120"/>
  <c r="S139" i="120"/>
  <c r="R139" i="120"/>
  <c r="S138" i="120"/>
  <c r="R138" i="120"/>
  <c r="S137" i="120"/>
  <c r="R137" i="120"/>
  <c r="S136" i="120"/>
  <c r="R136" i="120"/>
  <c r="S135" i="120"/>
  <c r="R135" i="120"/>
  <c r="S134" i="120"/>
  <c r="R134" i="120"/>
  <c r="S133" i="120"/>
  <c r="R133" i="120"/>
  <c r="S132" i="120"/>
  <c r="R132" i="120"/>
  <c r="S131" i="120"/>
  <c r="R131" i="120"/>
  <c r="S130" i="120"/>
  <c r="R130" i="120"/>
  <c r="S129" i="120"/>
  <c r="R129" i="120"/>
  <c r="S128" i="120"/>
  <c r="R128" i="120"/>
  <c r="S127" i="120"/>
  <c r="R127" i="120"/>
  <c r="S126" i="120"/>
  <c r="R126" i="120"/>
  <c r="S125" i="120"/>
  <c r="R125" i="120"/>
  <c r="S124" i="120"/>
  <c r="R124" i="120"/>
  <c r="S123" i="120"/>
  <c r="R123" i="120"/>
  <c r="S122" i="120"/>
  <c r="R122" i="120"/>
  <c r="S121" i="120"/>
  <c r="R121" i="120"/>
  <c r="S120" i="120"/>
  <c r="R120" i="120"/>
  <c r="S119" i="120"/>
  <c r="R119" i="120"/>
  <c r="S118" i="120"/>
  <c r="R118" i="120"/>
  <c r="S117" i="120"/>
  <c r="R117" i="120"/>
  <c r="S116" i="120"/>
  <c r="R116" i="120"/>
  <c r="S115" i="120"/>
  <c r="R115" i="120"/>
  <c r="S114" i="120"/>
  <c r="R114" i="120"/>
  <c r="B114" i="120"/>
  <c r="S113" i="120"/>
  <c r="R113" i="120"/>
  <c r="S112" i="120"/>
  <c r="R112" i="120"/>
  <c r="S111" i="120"/>
  <c r="R111" i="120"/>
  <c r="S110" i="120"/>
  <c r="R110" i="120"/>
  <c r="S109" i="120"/>
  <c r="R109" i="120"/>
  <c r="S108" i="120"/>
  <c r="R108" i="120"/>
  <c r="S107" i="120"/>
  <c r="R107" i="120"/>
  <c r="S106" i="120"/>
  <c r="R106" i="120"/>
  <c r="B106" i="120"/>
  <c r="A106" i="120"/>
  <c r="S105" i="120"/>
  <c r="R105" i="120"/>
  <c r="B105" i="120"/>
  <c r="A105" i="120"/>
  <c r="S104" i="120"/>
  <c r="R104" i="120"/>
  <c r="B104" i="120"/>
  <c r="S103" i="120"/>
  <c r="R103" i="120"/>
  <c r="F103" i="120"/>
  <c r="C103" i="120"/>
  <c r="S102" i="120"/>
  <c r="R102" i="120"/>
  <c r="F102" i="120"/>
  <c r="B102" i="120"/>
  <c r="S101" i="120"/>
  <c r="R101" i="120"/>
  <c r="S100" i="120"/>
  <c r="R100" i="120"/>
  <c r="S99" i="120"/>
  <c r="R99" i="120"/>
  <c r="S98" i="120"/>
  <c r="R98" i="120"/>
  <c r="S97" i="120"/>
  <c r="R97" i="120"/>
  <c r="S96" i="120"/>
  <c r="R96" i="120"/>
  <c r="S95" i="120"/>
  <c r="R95" i="120"/>
  <c r="S94" i="120"/>
  <c r="R94" i="120"/>
  <c r="S93" i="120"/>
  <c r="R93" i="120"/>
  <c r="S92" i="120"/>
  <c r="R92" i="120"/>
  <c r="S91" i="120"/>
  <c r="R91" i="120"/>
  <c r="S90" i="120"/>
  <c r="R90" i="120"/>
  <c r="S89" i="120"/>
  <c r="R89" i="120"/>
  <c r="S88" i="120"/>
  <c r="R88" i="120"/>
  <c r="S87" i="120"/>
  <c r="R87" i="120"/>
  <c r="S86" i="120"/>
  <c r="R86" i="120"/>
  <c r="S85" i="120"/>
  <c r="R85" i="120"/>
  <c r="S84" i="120"/>
  <c r="R84" i="120"/>
  <c r="S83" i="120"/>
  <c r="R83" i="120"/>
  <c r="S82" i="120"/>
  <c r="R82" i="120"/>
  <c r="S81" i="120"/>
  <c r="R81" i="120"/>
  <c r="S80" i="120"/>
  <c r="R80" i="120"/>
  <c r="S79" i="120"/>
  <c r="R79" i="120"/>
  <c r="S78" i="120"/>
  <c r="R78" i="120"/>
  <c r="S77" i="120"/>
  <c r="R77" i="120"/>
  <c r="S76" i="120"/>
  <c r="R76" i="120"/>
  <c r="S75" i="120"/>
  <c r="R75" i="120"/>
  <c r="S74" i="120"/>
  <c r="R74" i="120"/>
  <c r="S73" i="120"/>
  <c r="R73" i="120"/>
  <c r="S72" i="120"/>
  <c r="R72" i="120"/>
  <c r="S71" i="120"/>
  <c r="R71" i="120"/>
  <c r="S70" i="120"/>
  <c r="R70" i="120"/>
  <c r="S69" i="120"/>
  <c r="R69" i="120"/>
  <c r="S68" i="120"/>
  <c r="R68" i="120"/>
  <c r="S67" i="120"/>
  <c r="R67" i="120"/>
  <c r="S66" i="120"/>
  <c r="R66" i="120"/>
  <c r="S65" i="120"/>
  <c r="R65" i="120"/>
  <c r="S64" i="120"/>
  <c r="R64" i="120"/>
  <c r="S63" i="120"/>
  <c r="R63" i="120"/>
  <c r="S62" i="120"/>
  <c r="R62" i="120"/>
  <c r="S61" i="120"/>
  <c r="R61" i="120"/>
  <c r="S60" i="120"/>
  <c r="R60" i="120"/>
  <c r="S59" i="120"/>
  <c r="R59" i="120"/>
  <c r="S58" i="120"/>
  <c r="R58" i="120"/>
  <c r="S57" i="120"/>
  <c r="R57" i="120"/>
  <c r="S56" i="120"/>
  <c r="R56" i="120"/>
  <c r="S55" i="120"/>
  <c r="R55" i="120"/>
  <c r="S54" i="120"/>
  <c r="R54" i="120"/>
  <c r="S53" i="120"/>
  <c r="R53" i="120"/>
  <c r="S52" i="120"/>
  <c r="R52" i="120"/>
  <c r="S51" i="120"/>
  <c r="R51" i="120"/>
  <c r="S50" i="120"/>
  <c r="R50" i="120"/>
  <c r="C36" i="120"/>
  <c r="B36" i="120"/>
  <c r="B18" i="120"/>
  <c r="B17" i="120"/>
  <c r="B16" i="120"/>
  <c r="D113" i="120" s="1"/>
  <c r="B12" i="120"/>
  <c r="B11" i="120"/>
  <c r="B10" i="120"/>
  <c r="B9" i="120"/>
  <c r="B4" i="120"/>
  <c r="B3" i="120"/>
  <c r="R9" i="120" l="1"/>
  <c r="S9" i="120" s="1"/>
  <c r="E111" i="122"/>
  <c r="E114" i="122" s="1"/>
  <c r="R9" i="122"/>
  <c r="S9" i="122" s="1"/>
  <c r="R13" i="122"/>
  <c r="S13" i="122" s="1"/>
  <c r="R31" i="122"/>
  <c r="S31" i="122" s="1"/>
  <c r="R36" i="122"/>
  <c r="S36" i="122" s="1"/>
  <c r="R4" i="122"/>
  <c r="S4" i="122" s="1"/>
  <c r="R8" i="122"/>
  <c r="S8" i="122" s="1"/>
  <c r="R12" i="122"/>
  <c r="S12" i="122" s="1"/>
  <c r="R3" i="122"/>
  <c r="S3" i="122" s="1"/>
  <c r="R11" i="122"/>
  <c r="S11" i="122" s="1"/>
  <c r="R14" i="122"/>
  <c r="S14" i="122" s="1"/>
  <c r="R5" i="122"/>
  <c r="S5" i="122" s="1"/>
  <c r="R7" i="122"/>
  <c r="S7" i="122" s="1"/>
  <c r="R10" i="122"/>
  <c r="S10" i="122" s="1"/>
  <c r="B13" i="122"/>
  <c r="R16" i="122"/>
  <c r="S16" i="122" s="1"/>
  <c r="R19" i="122"/>
  <c r="S19" i="122" s="1"/>
  <c r="R22" i="122"/>
  <c r="S22" i="122" s="1"/>
  <c r="R26" i="122"/>
  <c r="S26" i="122" s="1"/>
  <c r="R39" i="122"/>
  <c r="S39" i="122" s="1"/>
  <c r="R42" i="122"/>
  <c r="S42" i="122" s="1"/>
  <c r="R44" i="122"/>
  <c r="S44" i="122" s="1"/>
  <c r="R46" i="122"/>
  <c r="S46" i="122" s="1"/>
  <c r="R48" i="122"/>
  <c r="S48" i="122" s="1"/>
  <c r="D114" i="122"/>
  <c r="R35" i="122"/>
  <c r="S35" i="122" s="1"/>
  <c r="R15" i="122"/>
  <c r="S15" i="122" s="1"/>
  <c r="R33" i="122"/>
  <c r="S33" i="122" s="1"/>
  <c r="R6" i="122"/>
  <c r="S6" i="122" s="1"/>
  <c r="R18" i="122"/>
  <c r="S18" i="122" s="1"/>
  <c r="R20" i="122"/>
  <c r="S20" i="122" s="1"/>
  <c r="R24" i="122"/>
  <c r="S24" i="122" s="1"/>
  <c r="R28" i="122"/>
  <c r="S28" i="122" s="1"/>
  <c r="R41" i="122"/>
  <c r="S41" i="122" s="1"/>
  <c r="R43" i="122"/>
  <c r="S43" i="122" s="1"/>
  <c r="R45" i="122"/>
  <c r="S45" i="122" s="1"/>
  <c r="R47" i="122"/>
  <c r="S47" i="122" s="1"/>
  <c r="R49" i="122"/>
  <c r="S49" i="122" s="1"/>
  <c r="R21" i="122"/>
  <c r="S21" i="122" s="1"/>
  <c r="R25" i="122"/>
  <c r="S25" i="122" s="1"/>
  <c r="R29" i="122"/>
  <c r="S29" i="122" s="1"/>
  <c r="R17" i="122"/>
  <c r="S17" i="122" s="1"/>
  <c r="R23" i="122"/>
  <c r="S23" i="122" s="1"/>
  <c r="R27" i="122"/>
  <c r="S27" i="122" s="1"/>
  <c r="R30" i="122"/>
  <c r="S30" i="122" s="1"/>
  <c r="R32" i="122"/>
  <c r="S32" i="122" s="1"/>
  <c r="R34" i="122"/>
  <c r="S34" i="122" s="1"/>
  <c r="R37" i="122"/>
  <c r="S37" i="122" s="1"/>
  <c r="R40" i="122"/>
  <c r="S40" i="122" s="1"/>
  <c r="R13" i="121"/>
  <c r="S13" i="121" s="1"/>
  <c r="R15" i="121"/>
  <c r="S15" i="121" s="1"/>
  <c r="R21" i="121"/>
  <c r="S21" i="121" s="1"/>
  <c r="R25" i="121"/>
  <c r="S25" i="121" s="1"/>
  <c r="R31" i="121"/>
  <c r="S31" i="121" s="1"/>
  <c r="R35" i="121"/>
  <c r="S35" i="121" s="1"/>
  <c r="R36" i="121"/>
  <c r="S36" i="121" s="1"/>
  <c r="R38" i="121"/>
  <c r="S38" i="121" s="1"/>
  <c r="R4" i="121"/>
  <c r="S4" i="121" s="1"/>
  <c r="R6" i="121"/>
  <c r="S6" i="121" s="1"/>
  <c r="R8" i="121"/>
  <c r="S8" i="121" s="1"/>
  <c r="R12" i="121"/>
  <c r="S12" i="121" s="1"/>
  <c r="R3" i="121"/>
  <c r="S3" i="121" s="1"/>
  <c r="R11" i="121"/>
  <c r="S11" i="121" s="1"/>
  <c r="R14" i="121"/>
  <c r="S14" i="121" s="1"/>
  <c r="R5" i="121"/>
  <c r="S5" i="121" s="1"/>
  <c r="R7" i="121"/>
  <c r="S7" i="121" s="1"/>
  <c r="R10" i="121"/>
  <c r="S10" i="121" s="1"/>
  <c r="B13" i="121"/>
  <c r="R16" i="121"/>
  <c r="S16" i="121" s="1"/>
  <c r="R19" i="121"/>
  <c r="S19" i="121" s="1"/>
  <c r="R22" i="121"/>
  <c r="S22" i="121" s="1"/>
  <c r="R26" i="121"/>
  <c r="S26" i="121" s="1"/>
  <c r="R39" i="121"/>
  <c r="S39" i="121" s="1"/>
  <c r="R42" i="121"/>
  <c r="S42" i="121" s="1"/>
  <c r="R44" i="121"/>
  <c r="S44" i="121" s="1"/>
  <c r="R46" i="121"/>
  <c r="S46" i="121" s="1"/>
  <c r="R48" i="121"/>
  <c r="S48" i="121" s="1"/>
  <c r="D111" i="121"/>
  <c r="D114" i="121"/>
  <c r="R18" i="121"/>
  <c r="S18" i="121" s="1"/>
  <c r="R20" i="121"/>
  <c r="S20" i="121" s="1"/>
  <c r="R24" i="121"/>
  <c r="S24" i="121" s="1"/>
  <c r="R28" i="121"/>
  <c r="S28" i="121" s="1"/>
  <c r="R41" i="121"/>
  <c r="S41" i="121" s="1"/>
  <c r="R43" i="121"/>
  <c r="S43" i="121" s="1"/>
  <c r="R45" i="121"/>
  <c r="S45" i="121" s="1"/>
  <c r="R47" i="121"/>
  <c r="S47" i="121" s="1"/>
  <c r="R49" i="121"/>
  <c r="S49" i="121" s="1"/>
  <c r="R29" i="121"/>
  <c r="S29" i="121" s="1"/>
  <c r="R33" i="121"/>
  <c r="S33" i="121" s="1"/>
  <c r="R17" i="121"/>
  <c r="S17" i="121" s="1"/>
  <c r="R23" i="121"/>
  <c r="S23" i="121" s="1"/>
  <c r="R27" i="121"/>
  <c r="S27" i="121" s="1"/>
  <c r="R30" i="121"/>
  <c r="S30" i="121" s="1"/>
  <c r="R32" i="121"/>
  <c r="S32" i="121" s="1"/>
  <c r="R34" i="121"/>
  <c r="S34" i="121" s="1"/>
  <c r="R37" i="121"/>
  <c r="S37" i="121" s="1"/>
  <c r="R40" i="121"/>
  <c r="S40" i="121" s="1"/>
  <c r="R21" i="120"/>
  <c r="S21" i="120" s="1"/>
  <c r="R25" i="120"/>
  <c r="S25" i="120" s="1"/>
  <c r="R31" i="120"/>
  <c r="S31" i="120" s="1"/>
  <c r="R33" i="120"/>
  <c r="S33" i="120" s="1"/>
  <c r="R35" i="120"/>
  <c r="S35" i="120" s="1"/>
  <c r="R36" i="120"/>
  <c r="S36" i="120" s="1"/>
  <c r="R38" i="120"/>
  <c r="S38" i="120" s="1"/>
  <c r="R4" i="120"/>
  <c r="S4" i="120" s="1"/>
  <c r="R6" i="120"/>
  <c r="S6" i="120" s="1"/>
  <c r="R8" i="120"/>
  <c r="S8" i="120" s="1"/>
  <c r="R12" i="120"/>
  <c r="S12" i="120" s="1"/>
  <c r="R3" i="120"/>
  <c r="S3" i="120" s="1"/>
  <c r="R11" i="120"/>
  <c r="S11" i="120" s="1"/>
  <c r="R14" i="120"/>
  <c r="S14" i="120" s="1"/>
  <c r="R5" i="120"/>
  <c r="S5" i="120" s="1"/>
  <c r="R7" i="120"/>
  <c r="S7" i="120" s="1"/>
  <c r="R10" i="120"/>
  <c r="S10" i="120" s="1"/>
  <c r="B13" i="120"/>
  <c r="R16" i="120"/>
  <c r="S16" i="120" s="1"/>
  <c r="R19" i="120"/>
  <c r="S19" i="120" s="1"/>
  <c r="R22" i="120"/>
  <c r="S22" i="120" s="1"/>
  <c r="R26" i="120"/>
  <c r="S26" i="120" s="1"/>
  <c r="R39" i="120"/>
  <c r="S39" i="120" s="1"/>
  <c r="R42" i="120"/>
  <c r="S42" i="120" s="1"/>
  <c r="R44" i="120"/>
  <c r="S44" i="120" s="1"/>
  <c r="R46" i="120"/>
  <c r="S46" i="120" s="1"/>
  <c r="R48" i="120"/>
  <c r="S48" i="120" s="1"/>
  <c r="D111" i="120"/>
  <c r="D114" i="120"/>
  <c r="R13" i="120"/>
  <c r="S13" i="120" s="1"/>
  <c r="R15" i="120"/>
  <c r="S15" i="120" s="1"/>
  <c r="R29" i="120"/>
  <c r="S29" i="120" s="1"/>
  <c r="E111" i="120"/>
  <c r="E114" i="120" s="1"/>
  <c r="R18" i="120"/>
  <c r="S18" i="120" s="1"/>
  <c r="R20" i="120"/>
  <c r="S20" i="120" s="1"/>
  <c r="R24" i="120"/>
  <c r="S24" i="120" s="1"/>
  <c r="R28" i="120"/>
  <c r="S28" i="120" s="1"/>
  <c r="R41" i="120"/>
  <c r="S41" i="120" s="1"/>
  <c r="R43" i="120"/>
  <c r="S43" i="120" s="1"/>
  <c r="R45" i="120"/>
  <c r="S45" i="120" s="1"/>
  <c r="R47" i="120"/>
  <c r="S47" i="120" s="1"/>
  <c r="R49" i="120"/>
  <c r="S49" i="120" s="1"/>
  <c r="R17" i="120"/>
  <c r="S17" i="120" s="1"/>
  <c r="R23" i="120"/>
  <c r="S23" i="120" s="1"/>
  <c r="R27" i="120"/>
  <c r="S27" i="120" s="1"/>
  <c r="R30" i="120"/>
  <c r="S30" i="120" s="1"/>
  <c r="R32" i="120"/>
  <c r="S32" i="120" s="1"/>
  <c r="R34" i="120"/>
  <c r="S34" i="120" s="1"/>
  <c r="R37" i="120"/>
  <c r="S37" i="120" s="1"/>
  <c r="R40" i="120"/>
  <c r="S40" i="120" s="1"/>
  <c r="B22" i="122" l="1"/>
  <c r="B23" i="122"/>
  <c r="B25" i="122"/>
  <c r="B21" i="122"/>
  <c r="B24" i="122"/>
  <c r="B22" i="121"/>
  <c r="B24" i="121"/>
  <c r="B23" i="121"/>
  <c r="B25" i="121"/>
  <c r="B21" i="121"/>
  <c r="B22" i="120"/>
  <c r="B23" i="120"/>
  <c r="B24" i="120"/>
  <c r="B25" i="120"/>
  <c r="B21" i="120"/>
  <c r="O252" i="119"/>
  <c r="O251" i="119"/>
  <c r="O250" i="119"/>
  <c r="O249" i="119"/>
  <c r="O248" i="119"/>
  <c r="O247" i="119"/>
  <c r="O246" i="119"/>
  <c r="O245" i="119"/>
  <c r="O244" i="119"/>
  <c r="O243" i="119"/>
  <c r="O242" i="119"/>
  <c r="O241" i="119"/>
  <c r="O240" i="119"/>
  <c r="O239" i="119"/>
  <c r="O238" i="119"/>
  <c r="O237" i="119"/>
  <c r="O236" i="119"/>
  <c r="O235" i="119"/>
  <c r="O234" i="119"/>
  <c r="O233" i="119"/>
  <c r="O232" i="119"/>
  <c r="O231" i="119"/>
  <c r="O230" i="119"/>
  <c r="O229" i="119"/>
  <c r="O228" i="119"/>
  <c r="O227" i="119"/>
  <c r="O226" i="119"/>
  <c r="O225" i="119"/>
  <c r="O224" i="119"/>
  <c r="O223" i="119"/>
  <c r="O222" i="119"/>
  <c r="O221" i="119"/>
  <c r="O220" i="119"/>
  <c r="O219" i="119"/>
  <c r="O218" i="119"/>
  <c r="O217" i="119"/>
  <c r="O216" i="119"/>
  <c r="O215" i="119"/>
  <c r="O214" i="119"/>
  <c r="O213" i="119"/>
  <c r="O212" i="119"/>
  <c r="O211" i="119"/>
  <c r="O210" i="119"/>
  <c r="O209" i="119"/>
  <c r="O208" i="119"/>
  <c r="O207" i="119"/>
  <c r="O206" i="119"/>
  <c r="O205" i="119"/>
  <c r="O204" i="119"/>
  <c r="O203" i="119"/>
  <c r="O202" i="119"/>
  <c r="O201" i="119"/>
  <c r="O200" i="119"/>
  <c r="O199" i="119"/>
  <c r="O198" i="119"/>
  <c r="O197" i="119"/>
  <c r="O196" i="119"/>
  <c r="O195" i="119"/>
  <c r="O194" i="119"/>
  <c r="O193" i="119"/>
  <c r="O192" i="119"/>
  <c r="O191" i="119"/>
  <c r="O190" i="119"/>
  <c r="O189" i="119"/>
  <c r="O188" i="119"/>
  <c r="O187" i="119"/>
  <c r="O186" i="119"/>
  <c r="O185" i="119"/>
  <c r="O184" i="119"/>
  <c r="O183" i="119"/>
  <c r="O182" i="119"/>
  <c r="O181" i="119"/>
  <c r="O180" i="119"/>
  <c r="O179" i="119"/>
  <c r="O178" i="119"/>
  <c r="O177" i="119"/>
  <c r="O176" i="119"/>
  <c r="O175" i="119"/>
  <c r="O174" i="119"/>
  <c r="O173" i="119"/>
  <c r="O172" i="119"/>
  <c r="O171" i="119"/>
  <c r="O170" i="119"/>
  <c r="O169" i="119"/>
  <c r="O168" i="119"/>
  <c r="O167" i="119"/>
  <c r="O166" i="119"/>
  <c r="O165" i="119"/>
  <c r="O164" i="119"/>
  <c r="O163" i="119"/>
  <c r="O162" i="119"/>
  <c r="O161" i="119"/>
  <c r="O160" i="119"/>
  <c r="O159" i="119"/>
  <c r="O158" i="119"/>
  <c r="O157" i="119"/>
  <c r="O156" i="119"/>
  <c r="O155" i="119"/>
  <c r="O154" i="119"/>
  <c r="O153" i="119"/>
  <c r="O152" i="119"/>
  <c r="O151" i="119"/>
  <c r="O150" i="119"/>
  <c r="O149" i="119"/>
  <c r="O148" i="119"/>
  <c r="O147" i="119"/>
  <c r="O146" i="119"/>
  <c r="O145" i="119"/>
  <c r="O144" i="119"/>
  <c r="O143" i="119"/>
  <c r="O142" i="119"/>
  <c r="O141" i="119"/>
  <c r="O140" i="119"/>
  <c r="O139" i="119"/>
  <c r="O138" i="119"/>
  <c r="O137" i="119"/>
  <c r="O136" i="119"/>
  <c r="O135" i="119"/>
  <c r="O134" i="119"/>
  <c r="O133" i="119"/>
  <c r="O132" i="119"/>
  <c r="O131" i="119"/>
  <c r="O130" i="119"/>
  <c r="O129" i="119"/>
  <c r="O128" i="119"/>
  <c r="O127" i="119"/>
  <c r="O126" i="119"/>
  <c r="O125" i="119"/>
  <c r="O124" i="119"/>
  <c r="O123" i="119"/>
  <c r="G123" i="119"/>
  <c r="O122" i="119"/>
  <c r="G122" i="119"/>
  <c r="O121" i="119"/>
  <c r="O120" i="119"/>
  <c r="G120" i="119"/>
  <c r="O119" i="119"/>
  <c r="G119" i="119"/>
  <c r="O118" i="119"/>
  <c r="G118" i="119"/>
  <c r="O117" i="119"/>
  <c r="O116" i="119"/>
  <c r="O115" i="119"/>
  <c r="O114" i="119"/>
  <c r="O113" i="119"/>
  <c r="O112" i="119"/>
  <c r="O111" i="119"/>
  <c r="O110" i="119"/>
  <c r="O109" i="119"/>
  <c r="O108" i="119"/>
  <c r="O107" i="119"/>
  <c r="O106" i="119"/>
  <c r="O105" i="119"/>
  <c r="O104" i="119"/>
  <c r="O103" i="119"/>
  <c r="O102" i="119"/>
  <c r="O101" i="119"/>
  <c r="O100" i="119"/>
  <c r="O99" i="119"/>
  <c r="O98" i="119"/>
  <c r="O97" i="119"/>
  <c r="O96" i="119"/>
  <c r="O95" i="119"/>
  <c r="O94" i="119"/>
  <c r="O93" i="119"/>
  <c r="O92" i="119"/>
  <c r="O91" i="119"/>
  <c r="O90" i="119"/>
  <c r="O89" i="119"/>
  <c r="O88" i="119"/>
  <c r="O87" i="119"/>
  <c r="O86" i="119"/>
  <c r="O85" i="119"/>
  <c r="O84" i="119"/>
  <c r="O83" i="119"/>
  <c r="O82" i="119"/>
  <c r="O81" i="119"/>
  <c r="O80" i="119"/>
  <c r="O79" i="119"/>
  <c r="O78" i="119"/>
  <c r="O77" i="119"/>
  <c r="O76" i="119"/>
  <c r="O75" i="119"/>
  <c r="O74" i="119"/>
  <c r="O73" i="119"/>
  <c r="O72" i="119"/>
  <c r="O71" i="119"/>
  <c r="O70" i="119"/>
  <c r="O69" i="119"/>
  <c r="O68" i="119"/>
  <c r="O67" i="119"/>
  <c r="O66" i="119"/>
  <c r="O65" i="119"/>
  <c r="O64" i="119"/>
  <c r="O63" i="119"/>
  <c r="O62" i="119"/>
  <c r="O61" i="119"/>
  <c r="O60" i="119"/>
  <c r="O59" i="119"/>
  <c r="O58" i="119"/>
  <c r="O57" i="119"/>
  <c r="O56" i="119"/>
  <c r="O55" i="119"/>
  <c r="O54" i="119"/>
  <c r="O53" i="119"/>
  <c r="O52" i="119"/>
  <c r="O51" i="119"/>
  <c r="O50" i="119"/>
  <c r="O49" i="119"/>
  <c r="O48" i="119"/>
  <c r="O47" i="119"/>
  <c r="O46" i="119"/>
  <c r="O45" i="119"/>
  <c r="O44" i="119"/>
  <c r="O43" i="119"/>
  <c r="O42" i="119"/>
  <c r="O41" i="119"/>
  <c r="O40" i="119"/>
  <c r="O39" i="119"/>
  <c r="O38" i="119"/>
  <c r="O37" i="119"/>
  <c r="O36" i="119"/>
  <c r="O35" i="119"/>
  <c r="O34" i="119"/>
  <c r="O33" i="119"/>
  <c r="O32" i="119"/>
  <c r="O31" i="119"/>
  <c r="O30" i="119"/>
  <c r="O29" i="119"/>
  <c r="O28" i="119"/>
  <c r="O27" i="119"/>
  <c r="E27" i="119"/>
  <c r="O26" i="119"/>
  <c r="E26" i="119"/>
  <c r="E31" i="119" s="1"/>
  <c r="O25" i="119"/>
  <c r="F25" i="119"/>
  <c r="O24" i="119"/>
  <c r="O23" i="119"/>
  <c r="O22" i="119"/>
  <c r="O21" i="119"/>
  <c r="O20" i="119"/>
  <c r="O19" i="119"/>
  <c r="O18" i="119"/>
  <c r="O17" i="119"/>
  <c r="B17" i="119"/>
  <c r="O16" i="119"/>
  <c r="B16" i="119"/>
  <c r="B22" i="119" s="1"/>
  <c r="O15" i="119"/>
  <c r="O14" i="119"/>
  <c r="O13" i="119"/>
  <c r="O12" i="119"/>
  <c r="B12" i="119"/>
  <c r="U11" i="119" s="1"/>
  <c r="V11" i="119" s="1"/>
  <c r="O11" i="119"/>
  <c r="B11" i="119"/>
  <c r="O10" i="119"/>
  <c r="B10" i="119"/>
  <c r="O9" i="119"/>
  <c r="B9" i="119"/>
  <c r="O8" i="119"/>
  <c r="O7" i="119"/>
  <c r="O6" i="119"/>
  <c r="O5" i="119"/>
  <c r="O4" i="119"/>
  <c r="B4" i="119"/>
  <c r="O3" i="119"/>
  <c r="B3" i="119"/>
  <c r="O252" i="118"/>
  <c r="O251" i="118"/>
  <c r="O250" i="118"/>
  <c r="O249" i="118"/>
  <c r="O248" i="118"/>
  <c r="O247" i="118"/>
  <c r="O246" i="118"/>
  <c r="O245" i="118"/>
  <c r="O244" i="118"/>
  <c r="O243" i="118"/>
  <c r="O242" i="118"/>
  <c r="O241" i="118"/>
  <c r="O240" i="118"/>
  <c r="O239" i="118"/>
  <c r="O238" i="118"/>
  <c r="O237" i="118"/>
  <c r="O236" i="118"/>
  <c r="O235" i="118"/>
  <c r="O234" i="118"/>
  <c r="O233" i="118"/>
  <c r="O232" i="118"/>
  <c r="O231" i="118"/>
  <c r="O230" i="118"/>
  <c r="O229" i="118"/>
  <c r="O228" i="118"/>
  <c r="O227" i="118"/>
  <c r="O226" i="118"/>
  <c r="O225" i="118"/>
  <c r="O224" i="118"/>
  <c r="O223" i="118"/>
  <c r="O222" i="118"/>
  <c r="O221" i="118"/>
  <c r="O220" i="118"/>
  <c r="O219" i="118"/>
  <c r="O218" i="118"/>
  <c r="O217" i="118"/>
  <c r="O216" i="118"/>
  <c r="O215" i="118"/>
  <c r="O214" i="118"/>
  <c r="O213" i="118"/>
  <c r="O212" i="118"/>
  <c r="O211" i="118"/>
  <c r="O210" i="118"/>
  <c r="O209" i="118"/>
  <c r="O208" i="118"/>
  <c r="O207" i="118"/>
  <c r="O206" i="118"/>
  <c r="O205" i="118"/>
  <c r="O204" i="118"/>
  <c r="O203" i="118"/>
  <c r="O202" i="118"/>
  <c r="O201" i="118"/>
  <c r="O200" i="118"/>
  <c r="O199" i="118"/>
  <c r="O198" i="118"/>
  <c r="O197" i="118"/>
  <c r="O196" i="118"/>
  <c r="O195" i="118"/>
  <c r="O194" i="118"/>
  <c r="O193" i="118"/>
  <c r="O192" i="118"/>
  <c r="O191" i="118"/>
  <c r="O190" i="118"/>
  <c r="O189" i="118"/>
  <c r="O188" i="118"/>
  <c r="O187" i="118"/>
  <c r="O186" i="118"/>
  <c r="O185" i="118"/>
  <c r="O184" i="118"/>
  <c r="O183" i="118"/>
  <c r="O182" i="118"/>
  <c r="O181" i="118"/>
  <c r="O180" i="118"/>
  <c r="O179" i="118"/>
  <c r="O178" i="118"/>
  <c r="O177" i="118"/>
  <c r="O176" i="118"/>
  <c r="O175" i="118"/>
  <c r="O174" i="118"/>
  <c r="O173" i="118"/>
  <c r="O172" i="118"/>
  <c r="O171" i="118"/>
  <c r="O170" i="118"/>
  <c r="O169" i="118"/>
  <c r="O168" i="118"/>
  <c r="O167" i="118"/>
  <c r="O166" i="118"/>
  <c r="O165" i="118"/>
  <c r="O164" i="118"/>
  <c r="O163" i="118"/>
  <c r="O162" i="118"/>
  <c r="O161" i="118"/>
  <c r="O160" i="118"/>
  <c r="O159" i="118"/>
  <c r="O158" i="118"/>
  <c r="O157" i="118"/>
  <c r="O156" i="118"/>
  <c r="O155" i="118"/>
  <c r="O154" i="118"/>
  <c r="O153" i="118"/>
  <c r="O152" i="118"/>
  <c r="O151" i="118"/>
  <c r="O150" i="118"/>
  <c r="O149" i="118"/>
  <c r="O148" i="118"/>
  <c r="O147" i="118"/>
  <c r="O146" i="118"/>
  <c r="O145" i="118"/>
  <c r="O144" i="118"/>
  <c r="O143" i="118"/>
  <c r="O142" i="118"/>
  <c r="O141" i="118"/>
  <c r="O140" i="118"/>
  <c r="O139" i="118"/>
  <c r="O138" i="118"/>
  <c r="O137" i="118"/>
  <c r="O136" i="118"/>
  <c r="O135" i="118"/>
  <c r="O134" i="118"/>
  <c r="O133" i="118"/>
  <c r="O132" i="118"/>
  <c r="O131" i="118"/>
  <c r="O130" i="118"/>
  <c r="O129" i="118"/>
  <c r="O128" i="118"/>
  <c r="O127" i="118"/>
  <c r="O126" i="118"/>
  <c r="O125" i="118"/>
  <c r="O124" i="118"/>
  <c r="O123" i="118"/>
  <c r="G123" i="118"/>
  <c r="O122" i="118"/>
  <c r="G122" i="118"/>
  <c r="O121" i="118"/>
  <c r="O120" i="118"/>
  <c r="G120" i="118"/>
  <c r="O119" i="118"/>
  <c r="G119" i="118"/>
  <c r="O118" i="118"/>
  <c r="G118" i="118"/>
  <c r="O117" i="118"/>
  <c r="O116" i="118"/>
  <c r="O115" i="118"/>
  <c r="O114" i="118"/>
  <c r="O113" i="118"/>
  <c r="O112" i="118"/>
  <c r="O111" i="118"/>
  <c r="O110" i="118"/>
  <c r="O109" i="118"/>
  <c r="O108" i="118"/>
  <c r="O107" i="118"/>
  <c r="O106" i="118"/>
  <c r="O105" i="118"/>
  <c r="O104" i="118"/>
  <c r="O103" i="118"/>
  <c r="O102" i="118"/>
  <c r="O101" i="118"/>
  <c r="O100" i="118"/>
  <c r="O99" i="118"/>
  <c r="O98" i="118"/>
  <c r="O97" i="118"/>
  <c r="O96" i="118"/>
  <c r="O95" i="118"/>
  <c r="O94" i="118"/>
  <c r="O93" i="118"/>
  <c r="O92" i="118"/>
  <c r="O91" i="118"/>
  <c r="O90" i="118"/>
  <c r="O89" i="118"/>
  <c r="O88" i="118"/>
  <c r="O87" i="118"/>
  <c r="O86" i="118"/>
  <c r="O85" i="118"/>
  <c r="O84" i="118"/>
  <c r="O83" i="118"/>
  <c r="O82" i="118"/>
  <c r="O81" i="118"/>
  <c r="O80" i="118"/>
  <c r="O79" i="118"/>
  <c r="O78" i="118"/>
  <c r="O77" i="118"/>
  <c r="O76" i="118"/>
  <c r="O75" i="118"/>
  <c r="O74" i="118"/>
  <c r="O73" i="118"/>
  <c r="O72" i="118"/>
  <c r="O71" i="118"/>
  <c r="O70" i="118"/>
  <c r="O69" i="118"/>
  <c r="O68" i="118"/>
  <c r="O67" i="118"/>
  <c r="O66" i="118"/>
  <c r="O65" i="118"/>
  <c r="O64" i="118"/>
  <c r="O63" i="118"/>
  <c r="O62" i="118"/>
  <c r="O61" i="118"/>
  <c r="O60" i="118"/>
  <c r="O59" i="118"/>
  <c r="O58" i="118"/>
  <c r="O57" i="118"/>
  <c r="O56" i="118"/>
  <c r="O55" i="118"/>
  <c r="O54" i="118"/>
  <c r="O53" i="118"/>
  <c r="O52" i="118"/>
  <c r="O51" i="118"/>
  <c r="O50" i="118"/>
  <c r="O49" i="118"/>
  <c r="O48" i="118"/>
  <c r="O47" i="118"/>
  <c r="O46" i="118"/>
  <c r="O45" i="118"/>
  <c r="O44" i="118"/>
  <c r="O43" i="118"/>
  <c r="O42" i="118"/>
  <c r="O41" i="118"/>
  <c r="O40" i="118"/>
  <c r="O39" i="118"/>
  <c r="O38" i="118"/>
  <c r="O37" i="118"/>
  <c r="O36" i="118"/>
  <c r="O35" i="118"/>
  <c r="O34" i="118"/>
  <c r="O33" i="118"/>
  <c r="O32" i="118"/>
  <c r="O31" i="118"/>
  <c r="O30" i="118"/>
  <c r="O29" i="118"/>
  <c r="O28" i="118"/>
  <c r="O27" i="118"/>
  <c r="E27" i="118"/>
  <c r="F28" i="118" s="1"/>
  <c r="O26" i="118"/>
  <c r="E26" i="118"/>
  <c r="O25" i="118"/>
  <c r="F25" i="118"/>
  <c r="O24" i="118"/>
  <c r="O23" i="118"/>
  <c r="O22" i="118"/>
  <c r="O21" i="118"/>
  <c r="O20" i="118"/>
  <c r="O19" i="118"/>
  <c r="O18" i="118"/>
  <c r="O17" i="118"/>
  <c r="B17" i="118"/>
  <c r="O16" i="118"/>
  <c r="B16" i="118"/>
  <c r="O15" i="118"/>
  <c r="O14" i="118"/>
  <c r="O13" i="118"/>
  <c r="O12" i="118"/>
  <c r="B12" i="118"/>
  <c r="U11" i="118" s="1"/>
  <c r="V11" i="118" s="1"/>
  <c r="O11" i="118"/>
  <c r="B11" i="118"/>
  <c r="B37" i="118" s="1"/>
  <c r="O10" i="118"/>
  <c r="B10" i="118"/>
  <c r="O9" i="118"/>
  <c r="B9" i="118"/>
  <c r="O8" i="118"/>
  <c r="O7" i="118"/>
  <c r="O6" i="118"/>
  <c r="O5" i="118"/>
  <c r="O4" i="118"/>
  <c r="B4" i="118"/>
  <c r="O3" i="118"/>
  <c r="B3" i="118"/>
  <c r="O252" i="117"/>
  <c r="O251" i="117"/>
  <c r="O250" i="117"/>
  <c r="O249" i="117"/>
  <c r="O248" i="117"/>
  <c r="O247" i="117"/>
  <c r="O246" i="117"/>
  <c r="O245" i="117"/>
  <c r="O244" i="117"/>
  <c r="O243" i="117"/>
  <c r="O242" i="117"/>
  <c r="O241" i="117"/>
  <c r="O240" i="117"/>
  <c r="O239" i="117"/>
  <c r="O238" i="117"/>
  <c r="O237" i="117"/>
  <c r="O236" i="117"/>
  <c r="O235" i="117"/>
  <c r="O234" i="117"/>
  <c r="O233" i="117"/>
  <c r="O232" i="117"/>
  <c r="O231" i="117"/>
  <c r="O230" i="117"/>
  <c r="O229" i="117"/>
  <c r="O228" i="117"/>
  <c r="O227" i="117"/>
  <c r="O226" i="117"/>
  <c r="O225" i="117"/>
  <c r="O224" i="117"/>
  <c r="O223" i="117"/>
  <c r="O222" i="117"/>
  <c r="O221" i="117"/>
  <c r="O220" i="117"/>
  <c r="O219" i="117"/>
  <c r="O218" i="117"/>
  <c r="O217" i="117"/>
  <c r="O216" i="117"/>
  <c r="O215" i="117"/>
  <c r="O214" i="117"/>
  <c r="O213" i="117"/>
  <c r="O212" i="117"/>
  <c r="O211" i="117"/>
  <c r="O210" i="117"/>
  <c r="O209" i="117"/>
  <c r="O208" i="117"/>
  <c r="O207" i="117"/>
  <c r="O206" i="117"/>
  <c r="O205" i="117"/>
  <c r="O204" i="117"/>
  <c r="O203" i="117"/>
  <c r="O202" i="117"/>
  <c r="O201" i="117"/>
  <c r="O200" i="117"/>
  <c r="O199" i="117"/>
  <c r="O198" i="117"/>
  <c r="O197" i="117"/>
  <c r="O196" i="117"/>
  <c r="O195" i="117"/>
  <c r="O194" i="117"/>
  <c r="O193" i="117"/>
  <c r="O192" i="117"/>
  <c r="O191" i="117"/>
  <c r="O190" i="117"/>
  <c r="O189" i="117"/>
  <c r="O188" i="117"/>
  <c r="O187" i="117"/>
  <c r="O186" i="117"/>
  <c r="O185" i="117"/>
  <c r="O184" i="117"/>
  <c r="O183" i="117"/>
  <c r="O182" i="117"/>
  <c r="O181" i="117"/>
  <c r="O180" i="117"/>
  <c r="O179" i="117"/>
  <c r="O178" i="117"/>
  <c r="O177" i="117"/>
  <c r="O176" i="117"/>
  <c r="O175" i="117"/>
  <c r="O174" i="117"/>
  <c r="O173" i="117"/>
  <c r="O172" i="117"/>
  <c r="O171" i="117"/>
  <c r="O170" i="117"/>
  <c r="O169" i="117"/>
  <c r="O168" i="117"/>
  <c r="O167" i="117"/>
  <c r="O166" i="117"/>
  <c r="O165" i="117"/>
  <c r="O164" i="117"/>
  <c r="O163" i="117"/>
  <c r="O162" i="117"/>
  <c r="O161" i="117"/>
  <c r="O160" i="117"/>
  <c r="O159" i="117"/>
  <c r="O158" i="117"/>
  <c r="O157" i="117"/>
  <c r="O156" i="117"/>
  <c r="O155" i="117"/>
  <c r="O154" i="117"/>
  <c r="O153" i="117"/>
  <c r="O152" i="117"/>
  <c r="O151" i="117"/>
  <c r="O150" i="117"/>
  <c r="O149" i="117"/>
  <c r="O148" i="117"/>
  <c r="O147" i="117"/>
  <c r="O146" i="117"/>
  <c r="O145" i="117"/>
  <c r="O144" i="117"/>
  <c r="O143" i="117"/>
  <c r="O142" i="117"/>
  <c r="O141" i="117"/>
  <c r="O140" i="117"/>
  <c r="O139" i="117"/>
  <c r="O138" i="117"/>
  <c r="O137" i="117"/>
  <c r="O136" i="117"/>
  <c r="O135" i="117"/>
  <c r="O134" i="117"/>
  <c r="O133" i="117"/>
  <c r="O132" i="117"/>
  <c r="O131" i="117"/>
  <c r="O130" i="117"/>
  <c r="O129" i="117"/>
  <c r="O128" i="117"/>
  <c r="O127" i="117"/>
  <c r="O126" i="117"/>
  <c r="O125" i="117"/>
  <c r="O124" i="117"/>
  <c r="O123" i="117"/>
  <c r="G123" i="117"/>
  <c r="O122" i="117"/>
  <c r="G122" i="117"/>
  <c r="O121" i="117"/>
  <c r="O120" i="117"/>
  <c r="G120" i="117"/>
  <c r="O119" i="117"/>
  <c r="G119" i="117"/>
  <c r="O118" i="117"/>
  <c r="G118" i="117"/>
  <c r="O117" i="117"/>
  <c r="O116" i="117"/>
  <c r="O115" i="117"/>
  <c r="O114" i="117"/>
  <c r="O113" i="117"/>
  <c r="O112" i="117"/>
  <c r="O111" i="117"/>
  <c r="O110" i="117"/>
  <c r="O109" i="117"/>
  <c r="O108" i="117"/>
  <c r="O107" i="117"/>
  <c r="O106" i="117"/>
  <c r="O105" i="117"/>
  <c r="O104" i="117"/>
  <c r="O103" i="117"/>
  <c r="O102" i="117"/>
  <c r="O101" i="117"/>
  <c r="O100" i="117"/>
  <c r="O99" i="117"/>
  <c r="O98" i="117"/>
  <c r="O97" i="117"/>
  <c r="O96" i="117"/>
  <c r="O95" i="117"/>
  <c r="O94" i="117"/>
  <c r="O93" i="117"/>
  <c r="O92" i="117"/>
  <c r="O91" i="117"/>
  <c r="O90" i="117"/>
  <c r="O89" i="117"/>
  <c r="O88" i="117"/>
  <c r="O87" i="117"/>
  <c r="O86" i="117"/>
  <c r="O85" i="117"/>
  <c r="O84" i="117"/>
  <c r="O83" i="117"/>
  <c r="O82" i="117"/>
  <c r="O81" i="117"/>
  <c r="O80" i="117"/>
  <c r="O79" i="117"/>
  <c r="O78" i="117"/>
  <c r="O77" i="117"/>
  <c r="O76" i="117"/>
  <c r="O75" i="117"/>
  <c r="O74" i="117"/>
  <c r="O73" i="117"/>
  <c r="O72" i="117"/>
  <c r="O71" i="117"/>
  <c r="O70" i="117"/>
  <c r="O69" i="117"/>
  <c r="O68" i="117"/>
  <c r="O67" i="117"/>
  <c r="O66" i="117"/>
  <c r="O65" i="117"/>
  <c r="O64" i="117"/>
  <c r="O63" i="117"/>
  <c r="O62" i="117"/>
  <c r="O61" i="117"/>
  <c r="O60" i="117"/>
  <c r="O59" i="117"/>
  <c r="O58" i="117"/>
  <c r="O57" i="117"/>
  <c r="O56" i="117"/>
  <c r="O55" i="117"/>
  <c r="O54" i="117"/>
  <c r="O53" i="117"/>
  <c r="O52" i="117"/>
  <c r="O51" i="117"/>
  <c r="O50" i="117"/>
  <c r="O49" i="117"/>
  <c r="O48" i="117"/>
  <c r="O47" i="117"/>
  <c r="O46" i="117"/>
  <c r="O45" i="117"/>
  <c r="O44" i="117"/>
  <c r="O43" i="117"/>
  <c r="O42" i="117"/>
  <c r="O41" i="117"/>
  <c r="O40" i="117"/>
  <c r="O39" i="117"/>
  <c r="O38" i="117"/>
  <c r="O37" i="117"/>
  <c r="O36" i="117"/>
  <c r="O35" i="117"/>
  <c r="O34" i="117"/>
  <c r="O33" i="117"/>
  <c r="O32" i="117"/>
  <c r="O31" i="117"/>
  <c r="O30" i="117"/>
  <c r="O29" i="117"/>
  <c r="O28" i="117"/>
  <c r="O27" i="117"/>
  <c r="E27" i="117"/>
  <c r="O26" i="117"/>
  <c r="E26" i="117"/>
  <c r="E31" i="117" s="1"/>
  <c r="O25" i="117"/>
  <c r="F25" i="117"/>
  <c r="O24" i="117"/>
  <c r="O23" i="117"/>
  <c r="O22" i="117"/>
  <c r="O21" i="117"/>
  <c r="O20" i="117"/>
  <c r="O19" i="117"/>
  <c r="O18" i="117"/>
  <c r="O17" i="117"/>
  <c r="B17" i="117"/>
  <c r="O16" i="117"/>
  <c r="B16" i="117"/>
  <c r="O15" i="117"/>
  <c r="O14" i="117"/>
  <c r="O13" i="117"/>
  <c r="O12" i="117"/>
  <c r="B12" i="117"/>
  <c r="U11" i="117" s="1"/>
  <c r="V11" i="117" s="1"/>
  <c r="O11" i="117"/>
  <c r="B11" i="117"/>
  <c r="B37" i="117" s="1"/>
  <c r="O10" i="117"/>
  <c r="B10" i="117"/>
  <c r="O9" i="117"/>
  <c r="B9" i="117"/>
  <c r="O8" i="117"/>
  <c r="O7" i="117"/>
  <c r="O6" i="117"/>
  <c r="O5" i="117"/>
  <c r="O4" i="117"/>
  <c r="B4" i="117"/>
  <c r="O3" i="117"/>
  <c r="B3" i="117"/>
  <c r="O252" i="116"/>
  <c r="O251" i="116"/>
  <c r="O250" i="116"/>
  <c r="O249" i="116"/>
  <c r="O248" i="116"/>
  <c r="O247" i="116"/>
  <c r="O246" i="116"/>
  <c r="O245" i="116"/>
  <c r="O244" i="116"/>
  <c r="O243" i="116"/>
  <c r="O242" i="116"/>
  <c r="O241" i="116"/>
  <c r="O240" i="116"/>
  <c r="O239" i="116"/>
  <c r="O238" i="116"/>
  <c r="O237" i="116"/>
  <c r="O236" i="116"/>
  <c r="O235" i="116"/>
  <c r="O234" i="116"/>
  <c r="O233" i="116"/>
  <c r="O232" i="116"/>
  <c r="O231" i="116"/>
  <c r="O230" i="116"/>
  <c r="O229" i="116"/>
  <c r="O228" i="116"/>
  <c r="O227" i="116"/>
  <c r="O226" i="116"/>
  <c r="O225" i="116"/>
  <c r="O224" i="116"/>
  <c r="O223" i="116"/>
  <c r="O222" i="116"/>
  <c r="O221" i="116"/>
  <c r="O220" i="116"/>
  <c r="O219" i="116"/>
  <c r="O218" i="116"/>
  <c r="O217" i="116"/>
  <c r="O216" i="116"/>
  <c r="O215" i="116"/>
  <c r="O214" i="116"/>
  <c r="O213" i="116"/>
  <c r="O212" i="116"/>
  <c r="O211" i="116"/>
  <c r="O210" i="116"/>
  <c r="O209" i="116"/>
  <c r="O208" i="116"/>
  <c r="O207" i="116"/>
  <c r="O206" i="116"/>
  <c r="O205" i="116"/>
  <c r="O204" i="116"/>
  <c r="O203" i="116"/>
  <c r="O202" i="116"/>
  <c r="O201" i="116"/>
  <c r="O200" i="116"/>
  <c r="O199" i="116"/>
  <c r="O198" i="116"/>
  <c r="O197" i="116"/>
  <c r="O196" i="116"/>
  <c r="O195" i="116"/>
  <c r="O194" i="116"/>
  <c r="O193" i="116"/>
  <c r="O192" i="116"/>
  <c r="O191" i="116"/>
  <c r="O190" i="116"/>
  <c r="O189" i="116"/>
  <c r="O188" i="116"/>
  <c r="O187" i="116"/>
  <c r="O186" i="116"/>
  <c r="O185" i="116"/>
  <c r="O184" i="116"/>
  <c r="O183" i="116"/>
  <c r="O182" i="116"/>
  <c r="O181" i="116"/>
  <c r="O180" i="116"/>
  <c r="O179" i="116"/>
  <c r="O178" i="116"/>
  <c r="O177" i="116"/>
  <c r="O176" i="116"/>
  <c r="O175" i="116"/>
  <c r="O174" i="116"/>
  <c r="O173" i="116"/>
  <c r="O172" i="116"/>
  <c r="O171" i="116"/>
  <c r="O170" i="116"/>
  <c r="O169" i="116"/>
  <c r="O168" i="116"/>
  <c r="O167" i="116"/>
  <c r="O166" i="116"/>
  <c r="O165" i="116"/>
  <c r="O164" i="116"/>
  <c r="O163" i="116"/>
  <c r="O162" i="116"/>
  <c r="O161" i="116"/>
  <c r="O160" i="116"/>
  <c r="O159" i="116"/>
  <c r="O158" i="116"/>
  <c r="O157" i="116"/>
  <c r="O156" i="116"/>
  <c r="O155" i="116"/>
  <c r="O154" i="116"/>
  <c r="O153" i="116"/>
  <c r="O152" i="116"/>
  <c r="O151" i="116"/>
  <c r="O150" i="116"/>
  <c r="O149" i="116"/>
  <c r="O148" i="116"/>
  <c r="O147" i="116"/>
  <c r="O146" i="116"/>
  <c r="O145" i="116"/>
  <c r="O144" i="116"/>
  <c r="O143" i="116"/>
  <c r="O142" i="116"/>
  <c r="O141" i="116"/>
  <c r="O140" i="116"/>
  <c r="O139" i="116"/>
  <c r="O138" i="116"/>
  <c r="O137" i="116"/>
  <c r="O136" i="116"/>
  <c r="O135" i="116"/>
  <c r="O134" i="116"/>
  <c r="O133" i="116"/>
  <c r="O132" i="116"/>
  <c r="O131" i="116"/>
  <c r="O130" i="116"/>
  <c r="O129" i="116"/>
  <c r="O128" i="116"/>
  <c r="O127" i="116"/>
  <c r="O126" i="116"/>
  <c r="O125" i="116"/>
  <c r="O124" i="116"/>
  <c r="O123" i="116"/>
  <c r="G123" i="116"/>
  <c r="O122" i="116"/>
  <c r="G122" i="116"/>
  <c r="O121" i="116"/>
  <c r="O120" i="116"/>
  <c r="G120" i="116"/>
  <c r="O119" i="116"/>
  <c r="G119" i="116"/>
  <c r="O118" i="116"/>
  <c r="G118" i="116"/>
  <c r="O117" i="116"/>
  <c r="O116" i="116"/>
  <c r="O115" i="116"/>
  <c r="O114" i="116"/>
  <c r="O113" i="116"/>
  <c r="O112" i="116"/>
  <c r="O111" i="116"/>
  <c r="O110" i="116"/>
  <c r="O109" i="116"/>
  <c r="O108" i="116"/>
  <c r="O107" i="116"/>
  <c r="O106" i="116"/>
  <c r="O105" i="116"/>
  <c r="O104" i="116"/>
  <c r="O103" i="116"/>
  <c r="O102" i="116"/>
  <c r="O101" i="116"/>
  <c r="O100" i="116"/>
  <c r="O99" i="116"/>
  <c r="O98" i="116"/>
  <c r="O97" i="116"/>
  <c r="O96" i="116"/>
  <c r="O95" i="116"/>
  <c r="O94" i="116"/>
  <c r="O93" i="116"/>
  <c r="O92" i="116"/>
  <c r="O91" i="116"/>
  <c r="O90" i="116"/>
  <c r="O89" i="116"/>
  <c r="O88" i="116"/>
  <c r="O87" i="116"/>
  <c r="O86" i="116"/>
  <c r="O85" i="116"/>
  <c r="O84" i="116"/>
  <c r="O83" i="116"/>
  <c r="O82" i="116"/>
  <c r="O81" i="116"/>
  <c r="O80" i="116"/>
  <c r="O79" i="116"/>
  <c r="O78" i="116"/>
  <c r="O77" i="116"/>
  <c r="O76" i="116"/>
  <c r="O75" i="116"/>
  <c r="O74" i="116"/>
  <c r="O73" i="116"/>
  <c r="O72" i="116"/>
  <c r="O71" i="116"/>
  <c r="O70" i="116"/>
  <c r="O69" i="116"/>
  <c r="O68" i="116"/>
  <c r="O67" i="116"/>
  <c r="O66" i="116"/>
  <c r="O65" i="116"/>
  <c r="O64" i="116"/>
  <c r="O63" i="116"/>
  <c r="O62" i="116"/>
  <c r="O61" i="116"/>
  <c r="O60" i="116"/>
  <c r="O59" i="116"/>
  <c r="O58" i="116"/>
  <c r="O57" i="116"/>
  <c r="O56" i="116"/>
  <c r="O55" i="116"/>
  <c r="O54" i="116"/>
  <c r="O53" i="116"/>
  <c r="O52" i="116"/>
  <c r="O51" i="116"/>
  <c r="O50" i="116"/>
  <c r="O49" i="116"/>
  <c r="O48" i="116"/>
  <c r="O47" i="116"/>
  <c r="O46" i="116"/>
  <c r="O45" i="116"/>
  <c r="O44" i="116"/>
  <c r="O43" i="116"/>
  <c r="O42" i="116"/>
  <c r="O41" i="116"/>
  <c r="O40" i="116"/>
  <c r="O39" i="116"/>
  <c r="O38" i="116"/>
  <c r="O37" i="116"/>
  <c r="O36" i="116"/>
  <c r="O35" i="116"/>
  <c r="O34" i="116"/>
  <c r="O33" i="116"/>
  <c r="O32" i="116"/>
  <c r="O31" i="116"/>
  <c r="O30" i="116"/>
  <c r="O29" i="116"/>
  <c r="O28" i="116"/>
  <c r="O27" i="116"/>
  <c r="E27" i="116"/>
  <c r="F28" i="116" s="1"/>
  <c r="O26" i="116"/>
  <c r="E26" i="116"/>
  <c r="O25" i="116"/>
  <c r="F25" i="116"/>
  <c r="O24" i="116"/>
  <c r="O23" i="116"/>
  <c r="O22" i="116"/>
  <c r="O21" i="116"/>
  <c r="O20" i="116"/>
  <c r="O19" i="116"/>
  <c r="O18" i="116"/>
  <c r="O17" i="116"/>
  <c r="B17" i="116"/>
  <c r="B22" i="116" s="1"/>
  <c r="O16" i="116"/>
  <c r="B16" i="116"/>
  <c r="O15" i="116"/>
  <c r="O14" i="116"/>
  <c r="O13" i="116"/>
  <c r="O12" i="116"/>
  <c r="B12" i="116"/>
  <c r="U11" i="116" s="1"/>
  <c r="V11" i="116" s="1"/>
  <c r="O11" i="116"/>
  <c r="B11" i="116"/>
  <c r="O10" i="116"/>
  <c r="B10" i="116"/>
  <c r="B36" i="116" s="1"/>
  <c r="U14" i="116" s="1"/>
  <c r="O9" i="116"/>
  <c r="B9" i="116"/>
  <c r="O8" i="116"/>
  <c r="O7" i="116"/>
  <c r="O6" i="116"/>
  <c r="O5" i="116"/>
  <c r="O4" i="116"/>
  <c r="B4" i="116"/>
  <c r="O3" i="116"/>
  <c r="B3" i="116"/>
  <c r="O252" i="115"/>
  <c r="O251" i="115"/>
  <c r="O250" i="115"/>
  <c r="O249" i="115"/>
  <c r="O248" i="115"/>
  <c r="O247" i="115"/>
  <c r="O246" i="115"/>
  <c r="O245" i="115"/>
  <c r="O244" i="115"/>
  <c r="O243" i="115"/>
  <c r="O242" i="115"/>
  <c r="O241" i="115"/>
  <c r="O240" i="115"/>
  <c r="O239" i="115"/>
  <c r="O238" i="115"/>
  <c r="O237" i="115"/>
  <c r="O236" i="115"/>
  <c r="O235" i="115"/>
  <c r="O234" i="115"/>
  <c r="O233" i="115"/>
  <c r="O232" i="115"/>
  <c r="O231" i="115"/>
  <c r="O230" i="115"/>
  <c r="O229" i="115"/>
  <c r="O228" i="115"/>
  <c r="O227" i="115"/>
  <c r="O226" i="115"/>
  <c r="O225" i="115"/>
  <c r="O224" i="115"/>
  <c r="O223" i="115"/>
  <c r="O222" i="115"/>
  <c r="O221" i="115"/>
  <c r="O220" i="115"/>
  <c r="O219" i="115"/>
  <c r="O218" i="115"/>
  <c r="O217" i="115"/>
  <c r="O216" i="115"/>
  <c r="O215" i="115"/>
  <c r="O214" i="115"/>
  <c r="O213" i="115"/>
  <c r="O212" i="115"/>
  <c r="O211" i="115"/>
  <c r="O210" i="115"/>
  <c r="O209" i="115"/>
  <c r="O208" i="115"/>
  <c r="O207" i="115"/>
  <c r="O206" i="115"/>
  <c r="O205" i="115"/>
  <c r="O204" i="115"/>
  <c r="O203" i="115"/>
  <c r="O202" i="115"/>
  <c r="O201" i="115"/>
  <c r="O200" i="115"/>
  <c r="O199" i="115"/>
  <c r="O198" i="115"/>
  <c r="O197" i="115"/>
  <c r="O196" i="115"/>
  <c r="O195" i="115"/>
  <c r="O194" i="115"/>
  <c r="O193" i="115"/>
  <c r="O192" i="115"/>
  <c r="O191" i="115"/>
  <c r="O190" i="115"/>
  <c r="O189" i="115"/>
  <c r="O188" i="115"/>
  <c r="O187" i="115"/>
  <c r="O186" i="115"/>
  <c r="O185" i="115"/>
  <c r="O184" i="115"/>
  <c r="O183" i="115"/>
  <c r="O182" i="115"/>
  <c r="O181" i="115"/>
  <c r="O180" i="115"/>
  <c r="O179" i="115"/>
  <c r="O178" i="115"/>
  <c r="O177" i="115"/>
  <c r="O176" i="115"/>
  <c r="O175" i="115"/>
  <c r="O174" i="115"/>
  <c r="O173" i="115"/>
  <c r="O172" i="115"/>
  <c r="O171" i="115"/>
  <c r="O170" i="115"/>
  <c r="O169" i="115"/>
  <c r="O168" i="115"/>
  <c r="O167" i="115"/>
  <c r="O166" i="115"/>
  <c r="O165" i="115"/>
  <c r="O164" i="115"/>
  <c r="O163" i="115"/>
  <c r="O162" i="115"/>
  <c r="O161" i="115"/>
  <c r="O160" i="115"/>
  <c r="O159" i="115"/>
  <c r="O158" i="115"/>
  <c r="O157" i="115"/>
  <c r="O156" i="115"/>
  <c r="O155" i="115"/>
  <c r="O154" i="115"/>
  <c r="O153" i="115"/>
  <c r="O152" i="115"/>
  <c r="O151" i="115"/>
  <c r="O150" i="115"/>
  <c r="O149" i="115"/>
  <c r="O148" i="115"/>
  <c r="O147" i="115"/>
  <c r="O146" i="115"/>
  <c r="O145" i="115"/>
  <c r="O144" i="115"/>
  <c r="O143" i="115"/>
  <c r="O142" i="115"/>
  <c r="O141" i="115"/>
  <c r="O140" i="115"/>
  <c r="O139" i="115"/>
  <c r="O138" i="115"/>
  <c r="O137" i="115"/>
  <c r="O136" i="115"/>
  <c r="O135" i="115"/>
  <c r="O134" i="115"/>
  <c r="O133" i="115"/>
  <c r="O132" i="115"/>
  <c r="O131" i="115"/>
  <c r="O130" i="115"/>
  <c r="O129" i="115"/>
  <c r="O128" i="115"/>
  <c r="O127" i="115"/>
  <c r="O126" i="115"/>
  <c r="O125" i="115"/>
  <c r="O124" i="115"/>
  <c r="O123" i="115"/>
  <c r="G123" i="115"/>
  <c r="O122" i="115"/>
  <c r="G122" i="115"/>
  <c r="O121" i="115"/>
  <c r="O120" i="115"/>
  <c r="G120" i="115"/>
  <c r="O119" i="115"/>
  <c r="G119" i="115"/>
  <c r="O118" i="115"/>
  <c r="G118" i="115"/>
  <c r="O117" i="115"/>
  <c r="O116" i="115"/>
  <c r="O115" i="115"/>
  <c r="O114" i="115"/>
  <c r="O113" i="115"/>
  <c r="O112" i="115"/>
  <c r="O111" i="115"/>
  <c r="O110" i="115"/>
  <c r="O109" i="115"/>
  <c r="O108" i="115"/>
  <c r="O107" i="115"/>
  <c r="O106" i="115"/>
  <c r="O105" i="115"/>
  <c r="O104" i="115"/>
  <c r="O103" i="115"/>
  <c r="O102" i="115"/>
  <c r="O101" i="115"/>
  <c r="O100" i="115"/>
  <c r="O99" i="115"/>
  <c r="O98" i="115"/>
  <c r="O97" i="115"/>
  <c r="O96" i="115"/>
  <c r="O95" i="115"/>
  <c r="O94" i="115"/>
  <c r="O93" i="115"/>
  <c r="O92" i="115"/>
  <c r="O91" i="115"/>
  <c r="O90" i="115"/>
  <c r="O89" i="115"/>
  <c r="O88" i="115"/>
  <c r="O87" i="115"/>
  <c r="O86" i="115"/>
  <c r="O85" i="115"/>
  <c r="O84" i="115"/>
  <c r="O83" i="115"/>
  <c r="O82" i="115"/>
  <c r="O81" i="115"/>
  <c r="O80" i="115"/>
  <c r="O79" i="115"/>
  <c r="O78" i="115"/>
  <c r="O77" i="115"/>
  <c r="O76" i="115"/>
  <c r="O75" i="115"/>
  <c r="O74" i="115"/>
  <c r="O73" i="115"/>
  <c r="O72" i="115"/>
  <c r="O71" i="115"/>
  <c r="O70" i="115"/>
  <c r="O69" i="115"/>
  <c r="O68" i="115"/>
  <c r="O67" i="115"/>
  <c r="O66" i="115"/>
  <c r="O65" i="115"/>
  <c r="O64" i="115"/>
  <c r="O63" i="115"/>
  <c r="O62" i="115"/>
  <c r="O61" i="115"/>
  <c r="O60" i="115"/>
  <c r="O59" i="115"/>
  <c r="O58" i="115"/>
  <c r="O57" i="115"/>
  <c r="O56" i="115"/>
  <c r="O55" i="115"/>
  <c r="O54" i="115"/>
  <c r="O53" i="115"/>
  <c r="O52" i="115"/>
  <c r="O51" i="115"/>
  <c r="O50" i="115"/>
  <c r="O49" i="115"/>
  <c r="O48" i="115"/>
  <c r="O47" i="115"/>
  <c r="O46" i="115"/>
  <c r="O45" i="115"/>
  <c r="O44" i="115"/>
  <c r="O43" i="115"/>
  <c r="O42" i="115"/>
  <c r="O41" i="115"/>
  <c r="O40" i="115"/>
  <c r="O39" i="115"/>
  <c r="O38" i="115"/>
  <c r="O37" i="115"/>
  <c r="O36" i="115"/>
  <c r="O35" i="115"/>
  <c r="O34" i="115"/>
  <c r="O33" i="115"/>
  <c r="O32" i="115"/>
  <c r="O31" i="115"/>
  <c r="O30" i="115"/>
  <c r="O29" i="115"/>
  <c r="O28" i="115"/>
  <c r="O27" i="115"/>
  <c r="E27" i="115"/>
  <c r="O26" i="115"/>
  <c r="E26" i="115"/>
  <c r="O25" i="115"/>
  <c r="F25" i="115"/>
  <c r="O24" i="115"/>
  <c r="O23" i="115"/>
  <c r="O22" i="115"/>
  <c r="O21" i="115"/>
  <c r="O20" i="115"/>
  <c r="O19" i="115"/>
  <c r="O18" i="115"/>
  <c r="O17" i="115"/>
  <c r="B17" i="115"/>
  <c r="O16" i="115"/>
  <c r="B16" i="115"/>
  <c r="O15" i="115"/>
  <c r="O14" i="115"/>
  <c r="O13" i="115"/>
  <c r="O12" i="115"/>
  <c r="B12" i="115"/>
  <c r="U11" i="115" s="1"/>
  <c r="V11" i="115" s="1"/>
  <c r="O11" i="115"/>
  <c r="B11" i="115"/>
  <c r="B37" i="115" s="1"/>
  <c r="O10" i="115"/>
  <c r="B10" i="115"/>
  <c r="O9" i="115"/>
  <c r="B9" i="115"/>
  <c r="O8" i="115"/>
  <c r="O7" i="115"/>
  <c r="O6" i="115"/>
  <c r="O5" i="115"/>
  <c r="O4" i="115"/>
  <c r="B4" i="115"/>
  <c r="O3" i="115"/>
  <c r="B3" i="115"/>
  <c r="O252" i="113"/>
  <c r="O251" i="113"/>
  <c r="O250" i="113"/>
  <c r="O249" i="113"/>
  <c r="O248" i="113"/>
  <c r="O247" i="113"/>
  <c r="O246" i="113"/>
  <c r="O245" i="113"/>
  <c r="O244" i="113"/>
  <c r="O243" i="113"/>
  <c r="O242" i="113"/>
  <c r="O241" i="113"/>
  <c r="O240" i="113"/>
  <c r="O239" i="113"/>
  <c r="O238" i="113"/>
  <c r="O237" i="113"/>
  <c r="O236" i="113"/>
  <c r="O235" i="113"/>
  <c r="O234" i="113"/>
  <c r="O233" i="113"/>
  <c r="O232" i="113"/>
  <c r="O231" i="113"/>
  <c r="O230" i="113"/>
  <c r="O229" i="113"/>
  <c r="O228" i="113"/>
  <c r="O227" i="113"/>
  <c r="O226" i="113"/>
  <c r="O225" i="113"/>
  <c r="O224" i="113"/>
  <c r="O223" i="113"/>
  <c r="O222" i="113"/>
  <c r="O221" i="113"/>
  <c r="O220" i="113"/>
  <c r="O219" i="113"/>
  <c r="O218" i="113"/>
  <c r="O217" i="113"/>
  <c r="O216" i="113"/>
  <c r="O215" i="113"/>
  <c r="O214" i="113"/>
  <c r="O213" i="113"/>
  <c r="O212" i="113"/>
  <c r="O211" i="113"/>
  <c r="O210" i="113"/>
  <c r="O209" i="113"/>
  <c r="O208" i="113"/>
  <c r="O207" i="113"/>
  <c r="O206" i="113"/>
  <c r="O205" i="113"/>
  <c r="O204" i="113"/>
  <c r="O203" i="113"/>
  <c r="O202" i="113"/>
  <c r="O201" i="113"/>
  <c r="O200" i="113"/>
  <c r="O199" i="113"/>
  <c r="O198" i="113"/>
  <c r="O197" i="113"/>
  <c r="O196" i="113"/>
  <c r="O195" i="113"/>
  <c r="O194" i="113"/>
  <c r="O193" i="113"/>
  <c r="O192" i="113"/>
  <c r="O191" i="113"/>
  <c r="O190" i="113"/>
  <c r="O189" i="113"/>
  <c r="O188" i="113"/>
  <c r="O187" i="113"/>
  <c r="O186" i="113"/>
  <c r="O185" i="113"/>
  <c r="O184" i="113"/>
  <c r="O183" i="113"/>
  <c r="O182" i="113"/>
  <c r="O181" i="113"/>
  <c r="O180" i="113"/>
  <c r="O179" i="113"/>
  <c r="O178" i="113"/>
  <c r="O177" i="113"/>
  <c r="O176" i="113"/>
  <c r="O175" i="113"/>
  <c r="O174" i="113"/>
  <c r="O173" i="113"/>
  <c r="O172" i="113"/>
  <c r="O171" i="113"/>
  <c r="O170" i="113"/>
  <c r="O169" i="113"/>
  <c r="O168" i="113"/>
  <c r="O167" i="113"/>
  <c r="O166" i="113"/>
  <c r="O165" i="113"/>
  <c r="O164" i="113"/>
  <c r="O163" i="113"/>
  <c r="O162" i="113"/>
  <c r="O161" i="113"/>
  <c r="O160" i="113"/>
  <c r="O159" i="113"/>
  <c r="O158" i="113"/>
  <c r="O157" i="113"/>
  <c r="O156" i="113"/>
  <c r="O155" i="113"/>
  <c r="O154" i="113"/>
  <c r="O153" i="113"/>
  <c r="O152" i="113"/>
  <c r="O151" i="113"/>
  <c r="O150" i="113"/>
  <c r="O149" i="113"/>
  <c r="O148" i="113"/>
  <c r="O147" i="113"/>
  <c r="O146" i="113"/>
  <c r="O145" i="113"/>
  <c r="O144" i="113"/>
  <c r="O143" i="113"/>
  <c r="O142" i="113"/>
  <c r="O141" i="113"/>
  <c r="O140" i="113"/>
  <c r="O139" i="113"/>
  <c r="O138" i="113"/>
  <c r="O137" i="113"/>
  <c r="O136" i="113"/>
  <c r="O135" i="113"/>
  <c r="O134" i="113"/>
  <c r="O133" i="113"/>
  <c r="O132" i="113"/>
  <c r="O131" i="113"/>
  <c r="O130" i="113"/>
  <c r="O129" i="113"/>
  <c r="O128" i="113"/>
  <c r="O127" i="113"/>
  <c r="O126" i="113"/>
  <c r="O125" i="113"/>
  <c r="O124" i="113"/>
  <c r="O123" i="113"/>
  <c r="G123" i="113"/>
  <c r="O122" i="113"/>
  <c r="G122" i="113"/>
  <c r="O121" i="113"/>
  <c r="O120" i="113"/>
  <c r="G120" i="113"/>
  <c r="O119" i="113"/>
  <c r="G119" i="113"/>
  <c r="O118" i="113"/>
  <c r="G118" i="113"/>
  <c r="O117" i="113"/>
  <c r="O116" i="113"/>
  <c r="O115" i="113"/>
  <c r="O114" i="113"/>
  <c r="O113" i="113"/>
  <c r="O112" i="113"/>
  <c r="O111" i="113"/>
  <c r="O110" i="113"/>
  <c r="O109" i="113"/>
  <c r="O108" i="113"/>
  <c r="O107" i="113"/>
  <c r="O106" i="113"/>
  <c r="O105" i="113"/>
  <c r="O104" i="113"/>
  <c r="O103" i="113"/>
  <c r="O102" i="113"/>
  <c r="O101" i="113"/>
  <c r="O100" i="113"/>
  <c r="O99" i="113"/>
  <c r="O98" i="113"/>
  <c r="O97" i="113"/>
  <c r="O96" i="113"/>
  <c r="O95" i="113"/>
  <c r="O94" i="113"/>
  <c r="O93" i="113"/>
  <c r="O92" i="113"/>
  <c r="O91" i="113"/>
  <c r="O90" i="113"/>
  <c r="O89" i="113"/>
  <c r="O88" i="113"/>
  <c r="O87" i="113"/>
  <c r="O86" i="113"/>
  <c r="O85" i="113"/>
  <c r="O84" i="113"/>
  <c r="O83" i="113"/>
  <c r="O82" i="113"/>
  <c r="O81" i="113"/>
  <c r="O80" i="113"/>
  <c r="O79" i="113"/>
  <c r="O78" i="113"/>
  <c r="O77" i="113"/>
  <c r="O76" i="113"/>
  <c r="O75" i="113"/>
  <c r="O74" i="113"/>
  <c r="O73" i="113"/>
  <c r="O72" i="113"/>
  <c r="O71" i="113"/>
  <c r="O70" i="113"/>
  <c r="O69" i="113"/>
  <c r="O68" i="113"/>
  <c r="O67" i="113"/>
  <c r="O66" i="113"/>
  <c r="O65" i="113"/>
  <c r="O64" i="113"/>
  <c r="O63" i="113"/>
  <c r="O62" i="113"/>
  <c r="O61" i="113"/>
  <c r="O60" i="113"/>
  <c r="O59" i="113"/>
  <c r="O58" i="113"/>
  <c r="O57" i="113"/>
  <c r="O56" i="113"/>
  <c r="O55" i="113"/>
  <c r="O54" i="113"/>
  <c r="O53" i="113"/>
  <c r="O52" i="113"/>
  <c r="O51" i="113"/>
  <c r="O50" i="113"/>
  <c r="O49" i="113"/>
  <c r="O48" i="113"/>
  <c r="O47" i="113"/>
  <c r="O46" i="113"/>
  <c r="O45" i="113"/>
  <c r="O44" i="113"/>
  <c r="O43" i="113"/>
  <c r="O42" i="113"/>
  <c r="O41" i="113"/>
  <c r="O40" i="113"/>
  <c r="O39" i="113"/>
  <c r="O38" i="113"/>
  <c r="O37" i="113"/>
  <c r="O36" i="113"/>
  <c r="O35" i="113"/>
  <c r="O34" i="113"/>
  <c r="O33" i="113"/>
  <c r="O32" i="113"/>
  <c r="O31" i="113"/>
  <c r="O30" i="113"/>
  <c r="O29" i="113"/>
  <c r="O28" i="113"/>
  <c r="O27" i="113"/>
  <c r="E27" i="113"/>
  <c r="O26" i="113"/>
  <c r="E26" i="113"/>
  <c r="O25" i="113"/>
  <c r="F25" i="113"/>
  <c r="O24" i="113"/>
  <c r="O23" i="113"/>
  <c r="O22" i="113"/>
  <c r="O21" i="113"/>
  <c r="O20" i="113"/>
  <c r="O19" i="113"/>
  <c r="O18" i="113"/>
  <c r="O17" i="113"/>
  <c r="B17" i="113"/>
  <c r="O16" i="113"/>
  <c r="B16" i="113"/>
  <c r="O15" i="113"/>
  <c r="O14" i="113"/>
  <c r="O13" i="113"/>
  <c r="O12" i="113"/>
  <c r="B12" i="113"/>
  <c r="U11" i="113" s="1"/>
  <c r="V11" i="113" s="1"/>
  <c r="O11" i="113"/>
  <c r="B11" i="113"/>
  <c r="B37" i="113" s="1"/>
  <c r="O10" i="113"/>
  <c r="B10" i="113"/>
  <c r="O9" i="113"/>
  <c r="B9" i="113"/>
  <c r="O8" i="113"/>
  <c r="O7" i="113"/>
  <c r="O6" i="113"/>
  <c r="O5" i="113"/>
  <c r="O4" i="113"/>
  <c r="B4" i="113"/>
  <c r="O3" i="113"/>
  <c r="B3" i="113"/>
  <c r="O252" i="112"/>
  <c r="O251" i="112"/>
  <c r="O250" i="112"/>
  <c r="O249" i="112"/>
  <c r="O248" i="112"/>
  <c r="O247" i="112"/>
  <c r="O246" i="112"/>
  <c r="O245" i="112"/>
  <c r="O244" i="112"/>
  <c r="O243" i="112"/>
  <c r="O242" i="112"/>
  <c r="O241" i="112"/>
  <c r="O240" i="112"/>
  <c r="O239" i="112"/>
  <c r="O238" i="112"/>
  <c r="O237" i="112"/>
  <c r="O236" i="112"/>
  <c r="O235" i="112"/>
  <c r="O234" i="112"/>
  <c r="O233" i="112"/>
  <c r="O232" i="112"/>
  <c r="O231" i="112"/>
  <c r="O230" i="112"/>
  <c r="O229" i="112"/>
  <c r="O228" i="112"/>
  <c r="O227" i="112"/>
  <c r="O226" i="112"/>
  <c r="O225" i="112"/>
  <c r="O224" i="112"/>
  <c r="O223" i="112"/>
  <c r="O222" i="112"/>
  <c r="O221" i="112"/>
  <c r="O220" i="112"/>
  <c r="O219" i="112"/>
  <c r="O218" i="112"/>
  <c r="O217" i="112"/>
  <c r="O216" i="112"/>
  <c r="O215" i="112"/>
  <c r="O214" i="112"/>
  <c r="O213" i="112"/>
  <c r="O212" i="112"/>
  <c r="O211" i="112"/>
  <c r="O210" i="112"/>
  <c r="O209" i="112"/>
  <c r="O208" i="112"/>
  <c r="O207" i="112"/>
  <c r="O206" i="112"/>
  <c r="O205" i="112"/>
  <c r="O204" i="112"/>
  <c r="O203" i="112"/>
  <c r="O202" i="112"/>
  <c r="O201" i="112"/>
  <c r="O200" i="112"/>
  <c r="O199" i="112"/>
  <c r="O198" i="112"/>
  <c r="O197" i="112"/>
  <c r="O196" i="112"/>
  <c r="O195" i="112"/>
  <c r="O194" i="112"/>
  <c r="O193" i="112"/>
  <c r="O192" i="112"/>
  <c r="O191" i="112"/>
  <c r="O190" i="112"/>
  <c r="O189" i="112"/>
  <c r="O188" i="112"/>
  <c r="O187" i="112"/>
  <c r="O186" i="112"/>
  <c r="O185" i="112"/>
  <c r="O184" i="112"/>
  <c r="O183" i="112"/>
  <c r="O182" i="112"/>
  <c r="O181" i="112"/>
  <c r="O180" i="112"/>
  <c r="O179" i="112"/>
  <c r="O178" i="112"/>
  <c r="O177" i="112"/>
  <c r="O176" i="112"/>
  <c r="O175" i="112"/>
  <c r="O174" i="112"/>
  <c r="O173" i="112"/>
  <c r="O172" i="112"/>
  <c r="O171" i="112"/>
  <c r="O170" i="112"/>
  <c r="O169" i="112"/>
  <c r="O168" i="112"/>
  <c r="O167" i="112"/>
  <c r="O166" i="112"/>
  <c r="O165" i="112"/>
  <c r="O164" i="112"/>
  <c r="O163" i="112"/>
  <c r="O162" i="112"/>
  <c r="O161" i="112"/>
  <c r="O160" i="112"/>
  <c r="O159" i="112"/>
  <c r="O158" i="112"/>
  <c r="O157" i="112"/>
  <c r="O156" i="112"/>
  <c r="O155" i="112"/>
  <c r="O154" i="112"/>
  <c r="O153" i="112"/>
  <c r="O152" i="112"/>
  <c r="O151" i="112"/>
  <c r="O150" i="112"/>
  <c r="O149" i="112"/>
  <c r="O148" i="112"/>
  <c r="O147" i="112"/>
  <c r="O146" i="112"/>
  <c r="O145" i="112"/>
  <c r="O144" i="112"/>
  <c r="O143" i="112"/>
  <c r="O142" i="112"/>
  <c r="O141" i="112"/>
  <c r="O140" i="112"/>
  <c r="O139" i="112"/>
  <c r="O138" i="112"/>
  <c r="O137" i="112"/>
  <c r="O136" i="112"/>
  <c r="O135" i="112"/>
  <c r="O134" i="112"/>
  <c r="O133" i="112"/>
  <c r="O132" i="112"/>
  <c r="O131" i="112"/>
  <c r="O130" i="112"/>
  <c r="O129" i="112"/>
  <c r="O128" i="112"/>
  <c r="O127" i="112"/>
  <c r="O126" i="112"/>
  <c r="O125" i="112"/>
  <c r="O124" i="112"/>
  <c r="O123" i="112"/>
  <c r="G123" i="112"/>
  <c r="O122" i="112"/>
  <c r="G122" i="112"/>
  <c r="O121" i="112"/>
  <c r="O120" i="112"/>
  <c r="G120" i="112"/>
  <c r="O119" i="112"/>
  <c r="G119" i="112"/>
  <c r="O118" i="112"/>
  <c r="G118" i="112"/>
  <c r="O117" i="112"/>
  <c r="O116" i="112"/>
  <c r="O115" i="112"/>
  <c r="O114" i="112"/>
  <c r="O113" i="112"/>
  <c r="O112" i="112"/>
  <c r="O111" i="112"/>
  <c r="O110" i="112"/>
  <c r="O109" i="112"/>
  <c r="O108" i="112"/>
  <c r="O107" i="112"/>
  <c r="O106" i="112"/>
  <c r="O105" i="112"/>
  <c r="O104" i="112"/>
  <c r="O103" i="112"/>
  <c r="O102" i="112"/>
  <c r="O101" i="112"/>
  <c r="O100" i="112"/>
  <c r="O99" i="112"/>
  <c r="O98" i="112"/>
  <c r="O97" i="112"/>
  <c r="O96" i="112"/>
  <c r="O95" i="112"/>
  <c r="O94" i="112"/>
  <c r="O93" i="112"/>
  <c r="O92" i="112"/>
  <c r="O91" i="112"/>
  <c r="O90" i="112"/>
  <c r="O89" i="112"/>
  <c r="O88" i="112"/>
  <c r="O87" i="112"/>
  <c r="O86" i="112"/>
  <c r="O85" i="112"/>
  <c r="O84" i="112"/>
  <c r="O83" i="112"/>
  <c r="O82" i="112"/>
  <c r="O81" i="112"/>
  <c r="O80" i="112"/>
  <c r="O79" i="112"/>
  <c r="O78" i="112"/>
  <c r="O77" i="112"/>
  <c r="O76" i="112"/>
  <c r="O75" i="112"/>
  <c r="O74" i="112"/>
  <c r="O73" i="112"/>
  <c r="O72" i="112"/>
  <c r="O71" i="112"/>
  <c r="O70" i="112"/>
  <c r="O69" i="112"/>
  <c r="O68" i="112"/>
  <c r="O67" i="112"/>
  <c r="O66" i="112"/>
  <c r="O65" i="112"/>
  <c r="O64" i="112"/>
  <c r="O63" i="112"/>
  <c r="O62" i="112"/>
  <c r="O61" i="112"/>
  <c r="O60" i="112"/>
  <c r="O59" i="112"/>
  <c r="O58" i="112"/>
  <c r="O57" i="112"/>
  <c r="O56" i="112"/>
  <c r="O55" i="112"/>
  <c r="O54" i="112"/>
  <c r="O53" i="112"/>
  <c r="O52" i="112"/>
  <c r="O51" i="112"/>
  <c r="O50" i="112"/>
  <c r="O49" i="112"/>
  <c r="O48" i="112"/>
  <c r="O47" i="112"/>
  <c r="O46" i="112"/>
  <c r="O45" i="112"/>
  <c r="O44" i="112"/>
  <c r="O43" i="112"/>
  <c r="O42" i="112"/>
  <c r="O41" i="112"/>
  <c r="O40" i="112"/>
  <c r="O39" i="112"/>
  <c r="O38" i="112"/>
  <c r="O37" i="112"/>
  <c r="O36" i="112"/>
  <c r="O35" i="112"/>
  <c r="O34" i="112"/>
  <c r="O33" i="112"/>
  <c r="O32" i="112"/>
  <c r="O31" i="112"/>
  <c r="O30" i="112"/>
  <c r="O29" i="112"/>
  <c r="O28" i="112"/>
  <c r="O27" i="112"/>
  <c r="E27" i="112"/>
  <c r="O26" i="112"/>
  <c r="E26" i="112"/>
  <c r="E31" i="112" s="1"/>
  <c r="O25" i="112"/>
  <c r="F25" i="112"/>
  <c r="O24" i="112"/>
  <c r="O23" i="112"/>
  <c r="O22" i="112"/>
  <c r="O21" i="112"/>
  <c r="O20" i="112"/>
  <c r="O19" i="112"/>
  <c r="O18" i="112"/>
  <c r="O17" i="112"/>
  <c r="B17" i="112"/>
  <c r="O16" i="112"/>
  <c r="B16" i="112"/>
  <c r="C22" i="112" s="1"/>
  <c r="O15" i="112"/>
  <c r="O14" i="112"/>
  <c r="O13" i="112"/>
  <c r="O12" i="112"/>
  <c r="B12" i="112"/>
  <c r="U11" i="112" s="1"/>
  <c r="V11" i="112" s="1"/>
  <c r="O11" i="112"/>
  <c r="B11" i="112"/>
  <c r="B37" i="112" s="1"/>
  <c r="O10" i="112"/>
  <c r="B10" i="112"/>
  <c r="O9" i="112"/>
  <c r="B9" i="112"/>
  <c r="O8" i="112"/>
  <c r="O7" i="112"/>
  <c r="O6" i="112"/>
  <c r="O5" i="112"/>
  <c r="O4" i="112"/>
  <c r="B4" i="112"/>
  <c r="O3" i="112"/>
  <c r="B3" i="112"/>
  <c r="O252" i="111"/>
  <c r="O251" i="111"/>
  <c r="O250" i="111"/>
  <c r="O249" i="111"/>
  <c r="O248" i="111"/>
  <c r="O247" i="111"/>
  <c r="O246" i="111"/>
  <c r="O245" i="111"/>
  <c r="O244" i="111"/>
  <c r="O243" i="111"/>
  <c r="O242" i="111"/>
  <c r="O241" i="111"/>
  <c r="O240" i="111"/>
  <c r="O239" i="111"/>
  <c r="O238" i="111"/>
  <c r="O237" i="111"/>
  <c r="O236" i="111"/>
  <c r="O235" i="111"/>
  <c r="O234" i="111"/>
  <c r="O233" i="111"/>
  <c r="O232" i="111"/>
  <c r="O231" i="111"/>
  <c r="O230" i="111"/>
  <c r="O229" i="111"/>
  <c r="O228" i="111"/>
  <c r="O227" i="111"/>
  <c r="O226" i="111"/>
  <c r="O225" i="111"/>
  <c r="O224" i="111"/>
  <c r="O223" i="111"/>
  <c r="O222" i="111"/>
  <c r="O221" i="111"/>
  <c r="O220" i="111"/>
  <c r="O219" i="111"/>
  <c r="O218" i="111"/>
  <c r="O217" i="111"/>
  <c r="O216" i="111"/>
  <c r="O215" i="111"/>
  <c r="O214" i="111"/>
  <c r="O213" i="111"/>
  <c r="O212" i="111"/>
  <c r="O211" i="111"/>
  <c r="O210" i="111"/>
  <c r="O209" i="111"/>
  <c r="O208" i="111"/>
  <c r="O207" i="111"/>
  <c r="O206" i="111"/>
  <c r="O205" i="111"/>
  <c r="O204" i="111"/>
  <c r="O203" i="111"/>
  <c r="O202" i="111"/>
  <c r="O201" i="111"/>
  <c r="O200" i="111"/>
  <c r="O199" i="111"/>
  <c r="O198" i="111"/>
  <c r="O197" i="111"/>
  <c r="O196" i="111"/>
  <c r="O195" i="111"/>
  <c r="O194" i="111"/>
  <c r="O193" i="111"/>
  <c r="O192" i="111"/>
  <c r="O191" i="111"/>
  <c r="O190" i="111"/>
  <c r="O189" i="111"/>
  <c r="O188" i="111"/>
  <c r="O187" i="111"/>
  <c r="O186" i="111"/>
  <c r="O185" i="111"/>
  <c r="O184" i="111"/>
  <c r="O183" i="111"/>
  <c r="O182" i="111"/>
  <c r="O181" i="111"/>
  <c r="O180" i="111"/>
  <c r="O179" i="111"/>
  <c r="O178" i="111"/>
  <c r="O177" i="111"/>
  <c r="O176" i="111"/>
  <c r="O175" i="111"/>
  <c r="O174" i="111"/>
  <c r="O173" i="111"/>
  <c r="O172" i="111"/>
  <c r="O171" i="111"/>
  <c r="O170" i="111"/>
  <c r="O169" i="111"/>
  <c r="O168" i="111"/>
  <c r="O167" i="111"/>
  <c r="O166" i="111"/>
  <c r="O165" i="111"/>
  <c r="O164" i="111"/>
  <c r="O163" i="111"/>
  <c r="O162" i="111"/>
  <c r="O161" i="111"/>
  <c r="O160" i="111"/>
  <c r="O159" i="111"/>
  <c r="O158" i="111"/>
  <c r="O157" i="111"/>
  <c r="O156" i="111"/>
  <c r="O155" i="111"/>
  <c r="O154" i="111"/>
  <c r="O153" i="111"/>
  <c r="O152" i="111"/>
  <c r="O151" i="111"/>
  <c r="O150" i="111"/>
  <c r="O149" i="111"/>
  <c r="O148" i="111"/>
  <c r="O147" i="111"/>
  <c r="O146" i="111"/>
  <c r="O145" i="111"/>
  <c r="O144" i="111"/>
  <c r="O143" i="111"/>
  <c r="O142" i="111"/>
  <c r="O141" i="111"/>
  <c r="O140" i="111"/>
  <c r="O139" i="111"/>
  <c r="O138" i="111"/>
  <c r="O137" i="111"/>
  <c r="O136" i="111"/>
  <c r="O135" i="111"/>
  <c r="O134" i="111"/>
  <c r="O133" i="111"/>
  <c r="O132" i="111"/>
  <c r="O131" i="111"/>
  <c r="O130" i="111"/>
  <c r="O129" i="111"/>
  <c r="O128" i="111"/>
  <c r="O127" i="111"/>
  <c r="O126" i="111"/>
  <c r="O125" i="111"/>
  <c r="O124" i="111"/>
  <c r="O123" i="111"/>
  <c r="G123" i="111"/>
  <c r="O122" i="111"/>
  <c r="G122" i="111"/>
  <c r="O121" i="111"/>
  <c r="O120" i="111"/>
  <c r="G120" i="111"/>
  <c r="O119" i="111"/>
  <c r="G119" i="111"/>
  <c r="O118" i="111"/>
  <c r="G118" i="111"/>
  <c r="O117" i="111"/>
  <c r="O116" i="111"/>
  <c r="O115" i="111"/>
  <c r="O114" i="111"/>
  <c r="O113" i="111"/>
  <c r="O112" i="111"/>
  <c r="O111" i="111"/>
  <c r="O110" i="111"/>
  <c r="O109" i="111"/>
  <c r="O108" i="111"/>
  <c r="O107" i="111"/>
  <c r="O106" i="111"/>
  <c r="O105" i="111"/>
  <c r="O104" i="111"/>
  <c r="O103" i="111"/>
  <c r="O102" i="111"/>
  <c r="O101" i="111"/>
  <c r="O100" i="111"/>
  <c r="O99" i="111"/>
  <c r="O98" i="111"/>
  <c r="O97" i="111"/>
  <c r="O96" i="111"/>
  <c r="O95" i="111"/>
  <c r="O94" i="111"/>
  <c r="O93" i="111"/>
  <c r="O92" i="111"/>
  <c r="O91" i="111"/>
  <c r="O90" i="111"/>
  <c r="O89" i="111"/>
  <c r="O88" i="111"/>
  <c r="O87" i="111"/>
  <c r="O86" i="111"/>
  <c r="O85" i="111"/>
  <c r="O84" i="111"/>
  <c r="O83" i="111"/>
  <c r="O82" i="111"/>
  <c r="O81" i="111"/>
  <c r="O80" i="111"/>
  <c r="O79" i="111"/>
  <c r="O78" i="111"/>
  <c r="O77" i="111"/>
  <c r="O76" i="111"/>
  <c r="O75" i="111"/>
  <c r="O74" i="111"/>
  <c r="O73" i="111"/>
  <c r="O72" i="111"/>
  <c r="O71" i="111"/>
  <c r="O70" i="111"/>
  <c r="O69" i="111"/>
  <c r="O68" i="111"/>
  <c r="O67" i="111"/>
  <c r="O66" i="111"/>
  <c r="O65" i="111"/>
  <c r="O64" i="111"/>
  <c r="O63" i="111"/>
  <c r="O62" i="111"/>
  <c r="O61" i="111"/>
  <c r="O60" i="111"/>
  <c r="O59" i="111"/>
  <c r="O58" i="111"/>
  <c r="O57" i="111"/>
  <c r="O56" i="111"/>
  <c r="O55" i="111"/>
  <c r="O54" i="111"/>
  <c r="O53" i="111"/>
  <c r="O52" i="111"/>
  <c r="O51" i="111"/>
  <c r="O50" i="111"/>
  <c r="O49" i="111"/>
  <c r="O48" i="111"/>
  <c r="O47" i="111"/>
  <c r="O46" i="111"/>
  <c r="O45" i="111"/>
  <c r="O44" i="111"/>
  <c r="O43" i="111"/>
  <c r="O42" i="111"/>
  <c r="O41" i="111"/>
  <c r="O40" i="111"/>
  <c r="O39" i="111"/>
  <c r="O38" i="111"/>
  <c r="O37" i="111"/>
  <c r="O36" i="111"/>
  <c r="O35" i="111"/>
  <c r="O34" i="111"/>
  <c r="O33" i="111"/>
  <c r="O32" i="111"/>
  <c r="O31" i="111"/>
  <c r="O30" i="111"/>
  <c r="E30" i="111"/>
  <c r="O29" i="111"/>
  <c r="O28" i="111"/>
  <c r="O27" i="111"/>
  <c r="F27" i="111"/>
  <c r="E27" i="111"/>
  <c r="O26" i="111"/>
  <c r="E26" i="111"/>
  <c r="F28" i="111" s="1"/>
  <c r="O25" i="111"/>
  <c r="F25" i="111"/>
  <c r="O24" i="111"/>
  <c r="O23" i="111"/>
  <c r="O22" i="111"/>
  <c r="O21" i="111"/>
  <c r="O20" i="111"/>
  <c r="O19" i="111"/>
  <c r="O18" i="111"/>
  <c r="O17" i="111"/>
  <c r="B17" i="111"/>
  <c r="O16" i="111"/>
  <c r="B16" i="111"/>
  <c r="O15" i="111"/>
  <c r="O14" i="111"/>
  <c r="O13" i="111"/>
  <c r="O12" i="111"/>
  <c r="B12" i="111"/>
  <c r="U11" i="111" s="1"/>
  <c r="V11" i="111" s="1"/>
  <c r="O11" i="111"/>
  <c r="B11" i="111"/>
  <c r="B37" i="111" s="1"/>
  <c r="O10" i="111"/>
  <c r="B10" i="111"/>
  <c r="O9" i="111"/>
  <c r="B9" i="111"/>
  <c r="O8" i="111"/>
  <c r="O7" i="111"/>
  <c r="O6" i="111"/>
  <c r="O5" i="111"/>
  <c r="O4" i="111"/>
  <c r="B4" i="111"/>
  <c r="O3" i="111"/>
  <c r="B3" i="111"/>
  <c r="O252" i="110"/>
  <c r="O251" i="110"/>
  <c r="O250" i="110"/>
  <c r="O249" i="110"/>
  <c r="O248" i="110"/>
  <c r="O247" i="110"/>
  <c r="O246" i="110"/>
  <c r="O245" i="110"/>
  <c r="O244" i="110"/>
  <c r="O243" i="110"/>
  <c r="O242" i="110"/>
  <c r="O241" i="110"/>
  <c r="O240" i="110"/>
  <c r="O239" i="110"/>
  <c r="O238" i="110"/>
  <c r="O237" i="110"/>
  <c r="O236" i="110"/>
  <c r="O235" i="110"/>
  <c r="O234" i="110"/>
  <c r="O233" i="110"/>
  <c r="O232" i="110"/>
  <c r="O231" i="110"/>
  <c r="O230" i="110"/>
  <c r="O229" i="110"/>
  <c r="O228" i="110"/>
  <c r="O227" i="110"/>
  <c r="O226" i="110"/>
  <c r="O225" i="110"/>
  <c r="O224" i="110"/>
  <c r="O223" i="110"/>
  <c r="O222" i="110"/>
  <c r="O221" i="110"/>
  <c r="O220" i="110"/>
  <c r="O219" i="110"/>
  <c r="O218" i="110"/>
  <c r="O217" i="110"/>
  <c r="O216" i="110"/>
  <c r="O215" i="110"/>
  <c r="O214" i="110"/>
  <c r="O213" i="110"/>
  <c r="O212" i="110"/>
  <c r="O211" i="110"/>
  <c r="O210" i="110"/>
  <c r="O209" i="110"/>
  <c r="O208" i="110"/>
  <c r="O207" i="110"/>
  <c r="O206" i="110"/>
  <c r="O205" i="110"/>
  <c r="O204" i="110"/>
  <c r="O203" i="110"/>
  <c r="O202" i="110"/>
  <c r="O201" i="110"/>
  <c r="O200" i="110"/>
  <c r="O199" i="110"/>
  <c r="O198" i="110"/>
  <c r="O197" i="110"/>
  <c r="O196" i="110"/>
  <c r="O195" i="110"/>
  <c r="O194" i="110"/>
  <c r="O193" i="110"/>
  <c r="O192" i="110"/>
  <c r="O191" i="110"/>
  <c r="O190" i="110"/>
  <c r="O189" i="110"/>
  <c r="O188" i="110"/>
  <c r="O187" i="110"/>
  <c r="O186" i="110"/>
  <c r="O185" i="110"/>
  <c r="O184" i="110"/>
  <c r="O183" i="110"/>
  <c r="O182" i="110"/>
  <c r="O181" i="110"/>
  <c r="O180" i="110"/>
  <c r="O179" i="110"/>
  <c r="O178" i="110"/>
  <c r="O177" i="110"/>
  <c r="O176" i="110"/>
  <c r="O175" i="110"/>
  <c r="O174" i="110"/>
  <c r="O173" i="110"/>
  <c r="O172" i="110"/>
  <c r="O171" i="110"/>
  <c r="O170" i="110"/>
  <c r="O169" i="110"/>
  <c r="O168" i="110"/>
  <c r="O167" i="110"/>
  <c r="O166" i="110"/>
  <c r="O165" i="110"/>
  <c r="O164" i="110"/>
  <c r="O163" i="110"/>
  <c r="O162" i="110"/>
  <c r="O161" i="110"/>
  <c r="O160" i="110"/>
  <c r="O159" i="110"/>
  <c r="O158" i="110"/>
  <c r="O157" i="110"/>
  <c r="O156" i="110"/>
  <c r="O155" i="110"/>
  <c r="O154" i="110"/>
  <c r="O153" i="110"/>
  <c r="O152" i="110"/>
  <c r="O151" i="110"/>
  <c r="O150" i="110"/>
  <c r="O149" i="110"/>
  <c r="O148" i="110"/>
  <c r="O147" i="110"/>
  <c r="O146" i="110"/>
  <c r="O145" i="110"/>
  <c r="O144" i="110"/>
  <c r="O143" i="110"/>
  <c r="O142" i="110"/>
  <c r="O141" i="110"/>
  <c r="O140" i="110"/>
  <c r="O139" i="110"/>
  <c r="O138" i="110"/>
  <c r="O137" i="110"/>
  <c r="O136" i="110"/>
  <c r="O135" i="110"/>
  <c r="O134" i="110"/>
  <c r="O133" i="110"/>
  <c r="O132" i="110"/>
  <c r="O131" i="110"/>
  <c r="O130" i="110"/>
  <c r="O129" i="110"/>
  <c r="O128" i="110"/>
  <c r="O127" i="110"/>
  <c r="O126" i="110"/>
  <c r="O125" i="110"/>
  <c r="O124" i="110"/>
  <c r="O123" i="110"/>
  <c r="G123" i="110"/>
  <c r="O122" i="110"/>
  <c r="G122" i="110"/>
  <c r="O121" i="110"/>
  <c r="O120" i="110"/>
  <c r="G120" i="110"/>
  <c r="O119" i="110"/>
  <c r="G119" i="110"/>
  <c r="O118" i="110"/>
  <c r="G118" i="110"/>
  <c r="O117" i="110"/>
  <c r="O116" i="110"/>
  <c r="O115" i="110"/>
  <c r="O114" i="110"/>
  <c r="O113" i="110"/>
  <c r="O112" i="110"/>
  <c r="O111" i="110"/>
  <c r="O110" i="110"/>
  <c r="O109" i="110"/>
  <c r="O108" i="110"/>
  <c r="O107" i="110"/>
  <c r="O106" i="110"/>
  <c r="O105" i="110"/>
  <c r="O104" i="110"/>
  <c r="O103" i="110"/>
  <c r="O102" i="110"/>
  <c r="O101" i="110"/>
  <c r="O100" i="110"/>
  <c r="O99" i="110"/>
  <c r="O98" i="110"/>
  <c r="O97" i="110"/>
  <c r="O96" i="110"/>
  <c r="O95" i="110"/>
  <c r="O94" i="110"/>
  <c r="O93" i="110"/>
  <c r="O92" i="110"/>
  <c r="O91" i="110"/>
  <c r="O90" i="110"/>
  <c r="O89" i="110"/>
  <c r="O88" i="110"/>
  <c r="O87" i="110"/>
  <c r="O86" i="110"/>
  <c r="O85" i="110"/>
  <c r="O84" i="110"/>
  <c r="O83" i="110"/>
  <c r="O82" i="110"/>
  <c r="O81" i="110"/>
  <c r="O80" i="110"/>
  <c r="O79" i="110"/>
  <c r="O78" i="110"/>
  <c r="O77" i="110"/>
  <c r="O76" i="110"/>
  <c r="O75" i="110"/>
  <c r="O74" i="110"/>
  <c r="O73" i="110"/>
  <c r="O72" i="110"/>
  <c r="O71" i="110"/>
  <c r="O70" i="110"/>
  <c r="O69" i="110"/>
  <c r="O68" i="110"/>
  <c r="O67" i="110"/>
  <c r="O66" i="110"/>
  <c r="O65" i="110"/>
  <c r="O64" i="110"/>
  <c r="O63" i="110"/>
  <c r="O62" i="110"/>
  <c r="O61" i="110"/>
  <c r="O60" i="110"/>
  <c r="O59" i="110"/>
  <c r="O58" i="110"/>
  <c r="O57" i="110"/>
  <c r="O56" i="110"/>
  <c r="O55" i="110"/>
  <c r="O54" i="110"/>
  <c r="O53" i="110"/>
  <c r="O52" i="110"/>
  <c r="O51" i="110"/>
  <c r="O50" i="110"/>
  <c r="O49" i="110"/>
  <c r="O48" i="110"/>
  <c r="O47" i="110"/>
  <c r="O46" i="110"/>
  <c r="O45" i="110"/>
  <c r="O44" i="110"/>
  <c r="O43" i="110"/>
  <c r="O42" i="110"/>
  <c r="O41" i="110"/>
  <c r="O40" i="110"/>
  <c r="O39" i="110"/>
  <c r="O38" i="110"/>
  <c r="O37" i="110"/>
  <c r="O36" i="110"/>
  <c r="O35" i="110"/>
  <c r="O34" i="110"/>
  <c r="O33" i="110"/>
  <c r="O32" i="110"/>
  <c r="O31" i="110"/>
  <c r="O30" i="110"/>
  <c r="O29" i="110"/>
  <c r="O28" i="110"/>
  <c r="O27" i="110"/>
  <c r="E27" i="110"/>
  <c r="E30" i="110" s="1"/>
  <c r="O26" i="110"/>
  <c r="E26" i="110"/>
  <c r="O25" i="110"/>
  <c r="F25" i="110"/>
  <c r="O24" i="110"/>
  <c r="O23" i="110"/>
  <c r="O22" i="110"/>
  <c r="O21" i="110"/>
  <c r="O20" i="110"/>
  <c r="O19" i="110"/>
  <c r="O18" i="110"/>
  <c r="O17" i="110"/>
  <c r="B17" i="110"/>
  <c r="O16" i="110"/>
  <c r="B16" i="110"/>
  <c r="B22" i="110" s="1"/>
  <c r="H57" i="110" s="1"/>
  <c r="O15" i="110"/>
  <c r="O14" i="110"/>
  <c r="O13" i="110"/>
  <c r="O12" i="110"/>
  <c r="B12" i="110"/>
  <c r="U11" i="110" s="1"/>
  <c r="V11" i="110" s="1"/>
  <c r="O11" i="110"/>
  <c r="B11" i="110"/>
  <c r="B37" i="110" s="1"/>
  <c r="O10" i="110"/>
  <c r="B10" i="110"/>
  <c r="O9" i="110"/>
  <c r="B9" i="110"/>
  <c r="O8" i="110"/>
  <c r="O7" i="110"/>
  <c r="O6" i="110"/>
  <c r="O5" i="110"/>
  <c r="O4" i="110"/>
  <c r="B4" i="110"/>
  <c r="O3" i="110"/>
  <c r="B3" i="110"/>
  <c r="O252" i="109"/>
  <c r="O251" i="109"/>
  <c r="O250" i="109"/>
  <c r="O249" i="109"/>
  <c r="O248" i="109"/>
  <c r="O247" i="109"/>
  <c r="O246" i="109"/>
  <c r="O245" i="109"/>
  <c r="O244" i="109"/>
  <c r="O243" i="109"/>
  <c r="O242" i="109"/>
  <c r="O241" i="109"/>
  <c r="O240" i="109"/>
  <c r="O239" i="109"/>
  <c r="O238" i="109"/>
  <c r="O237" i="109"/>
  <c r="O236" i="109"/>
  <c r="O235" i="109"/>
  <c r="O234" i="109"/>
  <c r="O233" i="109"/>
  <c r="O232" i="109"/>
  <c r="O231" i="109"/>
  <c r="O230" i="109"/>
  <c r="O229" i="109"/>
  <c r="O228" i="109"/>
  <c r="O227" i="109"/>
  <c r="O226" i="109"/>
  <c r="O225" i="109"/>
  <c r="O224" i="109"/>
  <c r="O223" i="109"/>
  <c r="O222" i="109"/>
  <c r="O221" i="109"/>
  <c r="O220" i="109"/>
  <c r="O219" i="109"/>
  <c r="O218" i="109"/>
  <c r="O217" i="109"/>
  <c r="O216" i="109"/>
  <c r="O215" i="109"/>
  <c r="O214" i="109"/>
  <c r="O213" i="109"/>
  <c r="O212" i="109"/>
  <c r="O211" i="109"/>
  <c r="O210" i="109"/>
  <c r="O209" i="109"/>
  <c r="O208" i="109"/>
  <c r="O207" i="109"/>
  <c r="O206" i="109"/>
  <c r="O205" i="109"/>
  <c r="O204" i="109"/>
  <c r="O203" i="109"/>
  <c r="O202" i="109"/>
  <c r="O201" i="109"/>
  <c r="O200" i="109"/>
  <c r="O199" i="109"/>
  <c r="O198" i="109"/>
  <c r="O197" i="109"/>
  <c r="O196" i="109"/>
  <c r="O195" i="109"/>
  <c r="O194" i="109"/>
  <c r="O193" i="109"/>
  <c r="O192" i="109"/>
  <c r="O191" i="109"/>
  <c r="O190" i="109"/>
  <c r="O189" i="109"/>
  <c r="O188" i="109"/>
  <c r="O187" i="109"/>
  <c r="O186" i="109"/>
  <c r="O185" i="109"/>
  <c r="O184" i="109"/>
  <c r="O183" i="109"/>
  <c r="O182" i="109"/>
  <c r="O181" i="109"/>
  <c r="O180" i="109"/>
  <c r="O179" i="109"/>
  <c r="O178" i="109"/>
  <c r="O177" i="109"/>
  <c r="O176" i="109"/>
  <c r="O175" i="109"/>
  <c r="O174" i="109"/>
  <c r="O173" i="109"/>
  <c r="O172" i="109"/>
  <c r="O171" i="109"/>
  <c r="O170" i="109"/>
  <c r="O169" i="109"/>
  <c r="O168" i="109"/>
  <c r="O167" i="109"/>
  <c r="O166" i="109"/>
  <c r="O165" i="109"/>
  <c r="O164" i="109"/>
  <c r="O163" i="109"/>
  <c r="O162" i="109"/>
  <c r="O161" i="109"/>
  <c r="O160" i="109"/>
  <c r="O159" i="109"/>
  <c r="O158" i="109"/>
  <c r="O157" i="109"/>
  <c r="O156" i="109"/>
  <c r="O155" i="109"/>
  <c r="O154" i="109"/>
  <c r="O153" i="109"/>
  <c r="O152" i="109"/>
  <c r="O151" i="109"/>
  <c r="O150" i="109"/>
  <c r="O149" i="109"/>
  <c r="O148" i="109"/>
  <c r="O147" i="109"/>
  <c r="O146" i="109"/>
  <c r="O145" i="109"/>
  <c r="O144" i="109"/>
  <c r="O143" i="109"/>
  <c r="O142" i="109"/>
  <c r="O141" i="109"/>
  <c r="O140" i="109"/>
  <c r="O139" i="109"/>
  <c r="O138" i="109"/>
  <c r="O137" i="109"/>
  <c r="O136" i="109"/>
  <c r="O135" i="109"/>
  <c r="O134" i="109"/>
  <c r="O133" i="109"/>
  <c r="O132" i="109"/>
  <c r="O131" i="109"/>
  <c r="O130" i="109"/>
  <c r="O129" i="109"/>
  <c r="O128" i="109"/>
  <c r="O127" i="109"/>
  <c r="O126" i="109"/>
  <c r="O125" i="109"/>
  <c r="O124" i="109"/>
  <c r="O123" i="109"/>
  <c r="G123" i="109"/>
  <c r="O122" i="109"/>
  <c r="G122" i="109"/>
  <c r="O121" i="109"/>
  <c r="O120" i="109"/>
  <c r="G120" i="109"/>
  <c r="O119" i="109"/>
  <c r="G119" i="109"/>
  <c r="O118" i="109"/>
  <c r="G118" i="109"/>
  <c r="O117" i="109"/>
  <c r="O116" i="109"/>
  <c r="O115" i="109"/>
  <c r="O114" i="109"/>
  <c r="O113" i="109"/>
  <c r="O112" i="109"/>
  <c r="O111" i="109"/>
  <c r="O110" i="109"/>
  <c r="O109" i="109"/>
  <c r="O108" i="109"/>
  <c r="O107" i="109"/>
  <c r="O106" i="109"/>
  <c r="O105" i="109"/>
  <c r="O104" i="109"/>
  <c r="O103" i="109"/>
  <c r="O102" i="109"/>
  <c r="O101" i="109"/>
  <c r="O100" i="109"/>
  <c r="O99" i="109"/>
  <c r="O98" i="109"/>
  <c r="O97" i="109"/>
  <c r="O96" i="109"/>
  <c r="O95" i="109"/>
  <c r="O94" i="109"/>
  <c r="O93" i="109"/>
  <c r="O92" i="109"/>
  <c r="O91" i="109"/>
  <c r="O90" i="109"/>
  <c r="O89" i="109"/>
  <c r="O88" i="109"/>
  <c r="O87" i="109"/>
  <c r="O86" i="109"/>
  <c r="O85" i="109"/>
  <c r="O84" i="109"/>
  <c r="O83" i="109"/>
  <c r="O82" i="109"/>
  <c r="O81" i="109"/>
  <c r="O80" i="109"/>
  <c r="O79" i="109"/>
  <c r="O78" i="109"/>
  <c r="O77" i="109"/>
  <c r="O76" i="109"/>
  <c r="O75" i="109"/>
  <c r="O74" i="109"/>
  <c r="O73" i="109"/>
  <c r="O72" i="109"/>
  <c r="O71" i="109"/>
  <c r="O70" i="109"/>
  <c r="O69" i="109"/>
  <c r="O68" i="109"/>
  <c r="O67" i="109"/>
  <c r="O66" i="109"/>
  <c r="O65" i="109"/>
  <c r="O64" i="109"/>
  <c r="O63" i="109"/>
  <c r="O62" i="109"/>
  <c r="O61" i="109"/>
  <c r="O60" i="109"/>
  <c r="O59" i="109"/>
  <c r="O58" i="109"/>
  <c r="O57" i="109"/>
  <c r="O56" i="109"/>
  <c r="O55" i="109"/>
  <c r="O54" i="109"/>
  <c r="O53" i="109"/>
  <c r="O52" i="109"/>
  <c r="O51" i="109"/>
  <c r="O50" i="109"/>
  <c r="O49" i="109"/>
  <c r="O48" i="109"/>
  <c r="O47" i="109"/>
  <c r="O46" i="109"/>
  <c r="O45" i="109"/>
  <c r="O44" i="109"/>
  <c r="O43" i="109"/>
  <c r="O42" i="109"/>
  <c r="O41" i="109"/>
  <c r="O40" i="109"/>
  <c r="O39" i="109"/>
  <c r="O38" i="109"/>
  <c r="O37" i="109"/>
  <c r="O36" i="109"/>
  <c r="O35" i="109"/>
  <c r="O34" i="109"/>
  <c r="O33" i="109"/>
  <c r="O32" i="109"/>
  <c r="O31" i="109"/>
  <c r="O30" i="109"/>
  <c r="O29" i="109"/>
  <c r="O28" i="109"/>
  <c r="O27" i="109"/>
  <c r="E27" i="109"/>
  <c r="F28" i="109" s="1"/>
  <c r="O26" i="109"/>
  <c r="E26" i="109"/>
  <c r="O25" i="109"/>
  <c r="F25" i="109"/>
  <c r="O24" i="109"/>
  <c r="O23" i="109"/>
  <c r="O22" i="109"/>
  <c r="O21" i="109"/>
  <c r="O20" i="109"/>
  <c r="O19" i="109"/>
  <c r="O18" i="109"/>
  <c r="O17" i="109"/>
  <c r="B17" i="109"/>
  <c r="O16" i="109"/>
  <c r="B16" i="109"/>
  <c r="O15" i="109"/>
  <c r="O14" i="109"/>
  <c r="O13" i="109"/>
  <c r="O12" i="109"/>
  <c r="B12" i="109"/>
  <c r="U11" i="109" s="1"/>
  <c r="V11" i="109" s="1"/>
  <c r="O11" i="109"/>
  <c r="B11" i="109"/>
  <c r="O10" i="109"/>
  <c r="B10" i="109"/>
  <c r="B36" i="109" s="1"/>
  <c r="O9" i="109"/>
  <c r="B9" i="109"/>
  <c r="O8" i="109"/>
  <c r="O7" i="109"/>
  <c r="O6" i="109"/>
  <c r="O5" i="109"/>
  <c r="O4" i="109"/>
  <c r="B4" i="109"/>
  <c r="O3" i="109"/>
  <c r="B3" i="109"/>
  <c r="O252" i="108"/>
  <c r="O251" i="108"/>
  <c r="O250" i="108"/>
  <c r="O249" i="108"/>
  <c r="O248" i="108"/>
  <c r="O247" i="108"/>
  <c r="O246" i="108"/>
  <c r="O245" i="108"/>
  <c r="O244" i="108"/>
  <c r="O243" i="108"/>
  <c r="O242" i="108"/>
  <c r="O241" i="108"/>
  <c r="O240" i="108"/>
  <c r="O239" i="108"/>
  <c r="O238" i="108"/>
  <c r="O237" i="108"/>
  <c r="O236" i="108"/>
  <c r="O235" i="108"/>
  <c r="O234" i="108"/>
  <c r="O233" i="108"/>
  <c r="O232" i="108"/>
  <c r="O231" i="108"/>
  <c r="O230" i="108"/>
  <c r="O229" i="108"/>
  <c r="O228" i="108"/>
  <c r="O227" i="108"/>
  <c r="O226" i="108"/>
  <c r="O225" i="108"/>
  <c r="O224" i="108"/>
  <c r="O223" i="108"/>
  <c r="O222" i="108"/>
  <c r="O221" i="108"/>
  <c r="O220" i="108"/>
  <c r="O219" i="108"/>
  <c r="O218" i="108"/>
  <c r="O217" i="108"/>
  <c r="O216" i="108"/>
  <c r="O215" i="108"/>
  <c r="O214" i="108"/>
  <c r="O213" i="108"/>
  <c r="O212" i="108"/>
  <c r="O211" i="108"/>
  <c r="O210" i="108"/>
  <c r="O209" i="108"/>
  <c r="O208" i="108"/>
  <c r="O207" i="108"/>
  <c r="O206" i="108"/>
  <c r="O205" i="108"/>
  <c r="O204" i="108"/>
  <c r="O203" i="108"/>
  <c r="O202" i="108"/>
  <c r="O201" i="108"/>
  <c r="O200" i="108"/>
  <c r="O199" i="108"/>
  <c r="O198" i="108"/>
  <c r="O197" i="108"/>
  <c r="O196" i="108"/>
  <c r="O195" i="108"/>
  <c r="O194" i="108"/>
  <c r="O193" i="108"/>
  <c r="O192" i="108"/>
  <c r="O191" i="108"/>
  <c r="O190" i="108"/>
  <c r="O189" i="108"/>
  <c r="O188" i="108"/>
  <c r="O187" i="108"/>
  <c r="O186" i="108"/>
  <c r="O185" i="108"/>
  <c r="O184" i="108"/>
  <c r="O183" i="108"/>
  <c r="O182" i="108"/>
  <c r="O181" i="108"/>
  <c r="O180" i="108"/>
  <c r="O179" i="108"/>
  <c r="O178" i="108"/>
  <c r="O177" i="108"/>
  <c r="O176" i="108"/>
  <c r="O175" i="108"/>
  <c r="O174" i="108"/>
  <c r="O173" i="108"/>
  <c r="O172" i="108"/>
  <c r="O171" i="108"/>
  <c r="O170" i="108"/>
  <c r="O169" i="108"/>
  <c r="O168" i="108"/>
  <c r="O167" i="108"/>
  <c r="O166" i="108"/>
  <c r="O165" i="108"/>
  <c r="O164" i="108"/>
  <c r="O163" i="108"/>
  <c r="O162" i="108"/>
  <c r="O161" i="108"/>
  <c r="O160" i="108"/>
  <c r="O159" i="108"/>
  <c r="O158" i="108"/>
  <c r="O157" i="108"/>
  <c r="O156" i="108"/>
  <c r="O155" i="108"/>
  <c r="O154" i="108"/>
  <c r="O153" i="108"/>
  <c r="O152" i="108"/>
  <c r="O151" i="108"/>
  <c r="O150" i="108"/>
  <c r="O149" i="108"/>
  <c r="O148" i="108"/>
  <c r="O147" i="108"/>
  <c r="O146" i="108"/>
  <c r="O145" i="108"/>
  <c r="O144" i="108"/>
  <c r="O143" i="108"/>
  <c r="O142" i="108"/>
  <c r="O141" i="108"/>
  <c r="O140" i="108"/>
  <c r="O139" i="108"/>
  <c r="O138" i="108"/>
  <c r="O137" i="108"/>
  <c r="O136" i="108"/>
  <c r="O135" i="108"/>
  <c r="O134" i="108"/>
  <c r="O133" i="108"/>
  <c r="O132" i="108"/>
  <c r="O131" i="108"/>
  <c r="O130" i="108"/>
  <c r="O129" i="108"/>
  <c r="O128" i="108"/>
  <c r="O127" i="108"/>
  <c r="O126" i="108"/>
  <c r="O125" i="108"/>
  <c r="O124" i="108"/>
  <c r="O123" i="108"/>
  <c r="G123" i="108"/>
  <c r="O122" i="108"/>
  <c r="G122" i="108"/>
  <c r="O121" i="108"/>
  <c r="O120" i="108"/>
  <c r="G120" i="108"/>
  <c r="O119" i="108"/>
  <c r="G119" i="108"/>
  <c r="O118" i="108"/>
  <c r="G118" i="108"/>
  <c r="O117" i="108"/>
  <c r="O116" i="108"/>
  <c r="O115" i="108"/>
  <c r="O114" i="108"/>
  <c r="O113" i="108"/>
  <c r="O112" i="108"/>
  <c r="O111" i="108"/>
  <c r="O110" i="108"/>
  <c r="O109" i="108"/>
  <c r="O108" i="108"/>
  <c r="O107" i="108"/>
  <c r="O106" i="108"/>
  <c r="O105" i="108"/>
  <c r="O104" i="108"/>
  <c r="O103" i="108"/>
  <c r="O102" i="108"/>
  <c r="O101" i="108"/>
  <c r="O100" i="108"/>
  <c r="O99" i="108"/>
  <c r="O98" i="108"/>
  <c r="O97" i="108"/>
  <c r="O96" i="108"/>
  <c r="O95" i="108"/>
  <c r="O94" i="108"/>
  <c r="O93" i="108"/>
  <c r="O92" i="108"/>
  <c r="O91" i="108"/>
  <c r="O90" i="108"/>
  <c r="O89" i="108"/>
  <c r="O88" i="108"/>
  <c r="O87" i="108"/>
  <c r="O86" i="108"/>
  <c r="O85" i="108"/>
  <c r="O84" i="108"/>
  <c r="O83" i="108"/>
  <c r="O82" i="108"/>
  <c r="O81" i="108"/>
  <c r="O80" i="108"/>
  <c r="O79" i="108"/>
  <c r="O78" i="108"/>
  <c r="O77" i="108"/>
  <c r="O76" i="108"/>
  <c r="O75" i="108"/>
  <c r="O74" i="108"/>
  <c r="O73" i="108"/>
  <c r="O72" i="108"/>
  <c r="O71" i="108"/>
  <c r="O70" i="108"/>
  <c r="O69" i="108"/>
  <c r="O68" i="108"/>
  <c r="O67" i="108"/>
  <c r="O66" i="108"/>
  <c r="O65" i="108"/>
  <c r="O64" i="108"/>
  <c r="O63" i="108"/>
  <c r="O62" i="108"/>
  <c r="O61" i="108"/>
  <c r="O60" i="108"/>
  <c r="O59" i="108"/>
  <c r="O58" i="108"/>
  <c r="O57" i="108"/>
  <c r="O56" i="108"/>
  <c r="O55" i="108"/>
  <c r="O54" i="108"/>
  <c r="O53" i="108"/>
  <c r="O52" i="108"/>
  <c r="O51" i="108"/>
  <c r="O50" i="108"/>
  <c r="O49" i="108"/>
  <c r="O48" i="108"/>
  <c r="O47" i="108"/>
  <c r="O46" i="108"/>
  <c r="O45" i="108"/>
  <c r="O44" i="108"/>
  <c r="O43" i="108"/>
  <c r="O42" i="108"/>
  <c r="O41" i="108"/>
  <c r="O40" i="108"/>
  <c r="O39" i="108"/>
  <c r="O38" i="108"/>
  <c r="O37" i="108"/>
  <c r="O36" i="108"/>
  <c r="O35" i="108"/>
  <c r="O34" i="108"/>
  <c r="O33" i="108"/>
  <c r="O32" i="108"/>
  <c r="O31" i="108"/>
  <c r="O30" i="108"/>
  <c r="O29" i="108"/>
  <c r="O28" i="108"/>
  <c r="O27" i="108"/>
  <c r="E27" i="108"/>
  <c r="O26" i="108"/>
  <c r="E26" i="108"/>
  <c r="F27" i="108" s="1"/>
  <c r="O25" i="108"/>
  <c r="F25" i="108"/>
  <c r="O24" i="108"/>
  <c r="O23" i="108"/>
  <c r="O22" i="108"/>
  <c r="O21" i="108"/>
  <c r="O20" i="108"/>
  <c r="O19" i="108"/>
  <c r="O18" i="108"/>
  <c r="O17" i="108"/>
  <c r="B17" i="108"/>
  <c r="O16" i="108"/>
  <c r="B16" i="108"/>
  <c r="O15" i="108"/>
  <c r="O14" i="108"/>
  <c r="O13" i="108"/>
  <c r="O12" i="108"/>
  <c r="B12" i="108"/>
  <c r="U11" i="108" s="1"/>
  <c r="V11" i="108" s="1"/>
  <c r="O11" i="108"/>
  <c r="B11" i="108"/>
  <c r="B37" i="108" s="1"/>
  <c r="O10" i="108"/>
  <c r="B10" i="108"/>
  <c r="O9" i="108"/>
  <c r="B9" i="108"/>
  <c r="O8" i="108"/>
  <c r="O7" i="108"/>
  <c r="O6" i="108"/>
  <c r="O5" i="108"/>
  <c r="O4" i="108"/>
  <c r="B4" i="108"/>
  <c r="O3" i="108"/>
  <c r="B3" i="108"/>
  <c r="O252" i="107"/>
  <c r="O251" i="107"/>
  <c r="O250" i="107"/>
  <c r="O249" i="107"/>
  <c r="O248" i="107"/>
  <c r="O247" i="107"/>
  <c r="O246" i="107"/>
  <c r="O245" i="107"/>
  <c r="O244" i="107"/>
  <c r="O243" i="107"/>
  <c r="O242" i="107"/>
  <c r="O241" i="107"/>
  <c r="O240" i="107"/>
  <c r="O239" i="107"/>
  <c r="O238" i="107"/>
  <c r="O237" i="107"/>
  <c r="O236" i="107"/>
  <c r="O235" i="107"/>
  <c r="O234" i="107"/>
  <c r="O233" i="107"/>
  <c r="O232" i="107"/>
  <c r="O231" i="107"/>
  <c r="O230" i="107"/>
  <c r="O229" i="107"/>
  <c r="O228" i="107"/>
  <c r="O227" i="107"/>
  <c r="O226" i="107"/>
  <c r="O225" i="107"/>
  <c r="O224" i="107"/>
  <c r="O223" i="107"/>
  <c r="O222" i="107"/>
  <c r="O221" i="107"/>
  <c r="O220" i="107"/>
  <c r="O219" i="107"/>
  <c r="O218" i="107"/>
  <c r="O217" i="107"/>
  <c r="O216" i="107"/>
  <c r="O215" i="107"/>
  <c r="O214" i="107"/>
  <c r="O213" i="107"/>
  <c r="O212" i="107"/>
  <c r="O211" i="107"/>
  <c r="O210" i="107"/>
  <c r="O209" i="107"/>
  <c r="O208" i="107"/>
  <c r="O207" i="107"/>
  <c r="O206" i="107"/>
  <c r="O205" i="107"/>
  <c r="O204" i="107"/>
  <c r="O203" i="107"/>
  <c r="O202" i="107"/>
  <c r="O201" i="107"/>
  <c r="O200" i="107"/>
  <c r="O199" i="107"/>
  <c r="O198" i="107"/>
  <c r="O197" i="107"/>
  <c r="O196" i="107"/>
  <c r="O195" i="107"/>
  <c r="O194" i="107"/>
  <c r="O193" i="107"/>
  <c r="O192" i="107"/>
  <c r="O191" i="107"/>
  <c r="O190" i="107"/>
  <c r="O189" i="107"/>
  <c r="O188" i="107"/>
  <c r="O187" i="107"/>
  <c r="O186" i="107"/>
  <c r="O185" i="107"/>
  <c r="O184" i="107"/>
  <c r="O183" i="107"/>
  <c r="O182" i="107"/>
  <c r="O181" i="107"/>
  <c r="O180" i="107"/>
  <c r="O179" i="107"/>
  <c r="O178" i="107"/>
  <c r="O177" i="107"/>
  <c r="O176" i="107"/>
  <c r="O175" i="107"/>
  <c r="O174" i="107"/>
  <c r="O173" i="107"/>
  <c r="O172" i="107"/>
  <c r="O171" i="107"/>
  <c r="O170" i="107"/>
  <c r="O169" i="107"/>
  <c r="O168" i="107"/>
  <c r="O167" i="107"/>
  <c r="O166" i="107"/>
  <c r="O165" i="107"/>
  <c r="O164" i="107"/>
  <c r="O163" i="107"/>
  <c r="O162" i="107"/>
  <c r="O161" i="107"/>
  <c r="O160" i="107"/>
  <c r="O159" i="107"/>
  <c r="O158" i="107"/>
  <c r="O157" i="107"/>
  <c r="O156" i="107"/>
  <c r="O155" i="107"/>
  <c r="O154" i="107"/>
  <c r="O153" i="107"/>
  <c r="O152" i="107"/>
  <c r="O151" i="107"/>
  <c r="O150" i="107"/>
  <c r="O149" i="107"/>
  <c r="O148" i="107"/>
  <c r="O147" i="107"/>
  <c r="O146" i="107"/>
  <c r="O145" i="107"/>
  <c r="O144" i="107"/>
  <c r="O143" i="107"/>
  <c r="O142" i="107"/>
  <c r="O141" i="107"/>
  <c r="O140" i="107"/>
  <c r="O139" i="107"/>
  <c r="O138" i="107"/>
  <c r="O137" i="107"/>
  <c r="O136" i="107"/>
  <c r="O135" i="107"/>
  <c r="O134" i="107"/>
  <c r="O133" i="107"/>
  <c r="O132" i="107"/>
  <c r="O131" i="107"/>
  <c r="O130" i="107"/>
  <c r="O129" i="107"/>
  <c r="O128" i="107"/>
  <c r="O127" i="107"/>
  <c r="O126" i="107"/>
  <c r="O125" i="107"/>
  <c r="O124" i="107"/>
  <c r="O123" i="107"/>
  <c r="G123" i="107"/>
  <c r="O122" i="107"/>
  <c r="G122" i="107"/>
  <c r="O121" i="107"/>
  <c r="O120" i="107"/>
  <c r="G120" i="107"/>
  <c r="O119" i="107"/>
  <c r="G119" i="107"/>
  <c r="O118" i="107"/>
  <c r="G118" i="107"/>
  <c r="O117" i="107"/>
  <c r="O116" i="107"/>
  <c r="O115" i="107"/>
  <c r="O114" i="107"/>
  <c r="O113" i="107"/>
  <c r="O112" i="107"/>
  <c r="O111" i="107"/>
  <c r="O110" i="107"/>
  <c r="O109" i="107"/>
  <c r="O108" i="107"/>
  <c r="O107" i="107"/>
  <c r="O106" i="107"/>
  <c r="O105" i="107"/>
  <c r="O104" i="107"/>
  <c r="O103" i="107"/>
  <c r="O102" i="107"/>
  <c r="O101" i="107"/>
  <c r="O100" i="107"/>
  <c r="O99" i="107"/>
  <c r="O98" i="107"/>
  <c r="O97" i="107"/>
  <c r="O96" i="107"/>
  <c r="O95" i="107"/>
  <c r="O94" i="107"/>
  <c r="O93" i="107"/>
  <c r="O92" i="107"/>
  <c r="O91" i="107"/>
  <c r="O90" i="107"/>
  <c r="O89" i="107"/>
  <c r="O88" i="107"/>
  <c r="O87" i="107"/>
  <c r="O86" i="107"/>
  <c r="O85" i="107"/>
  <c r="O84" i="107"/>
  <c r="O83" i="107"/>
  <c r="O82" i="107"/>
  <c r="O81" i="107"/>
  <c r="O80" i="107"/>
  <c r="O79" i="107"/>
  <c r="O78" i="107"/>
  <c r="O77" i="107"/>
  <c r="O76" i="107"/>
  <c r="O75" i="107"/>
  <c r="O74" i="107"/>
  <c r="O73" i="107"/>
  <c r="O72" i="107"/>
  <c r="O71" i="107"/>
  <c r="O70" i="107"/>
  <c r="O69" i="107"/>
  <c r="O68" i="107"/>
  <c r="O67" i="107"/>
  <c r="O66" i="107"/>
  <c r="O65" i="107"/>
  <c r="O64" i="107"/>
  <c r="O63" i="107"/>
  <c r="O62" i="107"/>
  <c r="O61" i="107"/>
  <c r="O60" i="107"/>
  <c r="O59" i="107"/>
  <c r="O58" i="107"/>
  <c r="O57" i="107"/>
  <c r="O56" i="107"/>
  <c r="O55" i="107"/>
  <c r="O54" i="107"/>
  <c r="O53" i="107"/>
  <c r="O52" i="107"/>
  <c r="O51" i="107"/>
  <c r="O50" i="107"/>
  <c r="O49" i="107"/>
  <c r="O48" i="107"/>
  <c r="O47" i="107"/>
  <c r="O46" i="107"/>
  <c r="O45" i="107"/>
  <c r="O44" i="107"/>
  <c r="O43" i="107"/>
  <c r="O42" i="107"/>
  <c r="O41" i="107"/>
  <c r="O40" i="107"/>
  <c r="O39" i="107"/>
  <c r="O38" i="107"/>
  <c r="O37" i="107"/>
  <c r="O36" i="107"/>
  <c r="O35" i="107"/>
  <c r="O34" i="107"/>
  <c r="O33" i="107"/>
  <c r="O32" i="107"/>
  <c r="O31" i="107"/>
  <c r="O30" i="107"/>
  <c r="O29" i="107"/>
  <c r="O28" i="107"/>
  <c r="O27" i="107"/>
  <c r="E27" i="107"/>
  <c r="O26" i="107"/>
  <c r="E26" i="107"/>
  <c r="O25" i="107"/>
  <c r="F25" i="107"/>
  <c r="O24" i="107"/>
  <c r="O23" i="107"/>
  <c r="O22" i="107"/>
  <c r="O21" i="107"/>
  <c r="O20" i="107"/>
  <c r="O19" i="107"/>
  <c r="O18" i="107"/>
  <c r="O17" i="107"/>
  <c r="B17" i="107"/>
  <c r="O16" i="107"/>
  <c r="B16" i="107"/>
  <c r="O15" i="107"/>
  <c r="O14" i="107"/>
  <c r="O13" i="107"/>
  <c r="O12" i="107"/>
  <c r="B12" i="107"/>
  <c r="U11" i="107" s="1"/>
  <c r="V11" i="107" s="1"/>
  <c r="O11" i="107"/>
  <c r="B11" i="107"/>
  <c r="B37" i="107" s="1"/>
  <c r="O10" i="107"/>
  <c r="B10" i="107"/>
  <c r="O9" i="107"/>
  <c r="B9" i="107"/>
  <c r="O8" i="107"/>
  <c r="O7" i="107"/>
  <c r="O6" i="107"/>
  <c r="O5" i="107"/>
  <c r="O4" i="107"/>
  <c r="B4" i="107"/>
  <c r="O3" i="107"/>
  <c r="B3" i="107"/>
  <c r="O252" i="106"/>
  <c r="O251" i="106"/>
  <c r="O250" i="106"/>
  <c r="O249" i="106"/>
  <c r="O248" i="106"/>
  <c r="O247" i="106"/>
  <c r="O246" i="106"/>
  <c r="O245" i="106"/>
  <c r="O244" i="106"/>
  <c r="O243" i="106"/>
  <c r="O242" i="106"/>
  <c r="O241" i="106"/>
  <c r="O240" i="106"/>
  <c r="O239" i="106"/>
  <c r="O238" i="106"/>
  <c r="O237" i="106"/>
  <c r="O236" i="106"/>
  <c r="O235" i="106"/>
  <c r="O234" i="106"/>
  <c r="O233" i="106"/>
  <c r="O232" i="106"/>
  <c r="O231" i="106"/>
  <c r="O230" i="106"/>
  <c r="O229" i="106"/>
  <c r="O228" i="106"/>
  <c r="O227" i="106"/>
  <c r="O226" i="106"/>
  <c r="O225" i="106"/>
  <c r="O224" i="106"/>
  <c r="O223" i="106"/>
  <c r="O222" i="106"/>
  <c r="O221" i="106"/>
  <c r="O220" i="106"/>
  <c r="O219" i="106"/>
  <c r="O218" i="106"/>
  <c r="O217" i="106"/>
  <c r="O216" i="106"/>
  <c r="O215" i="106"/>
  <c r="O214" i="106"/>
  <c r="O213" i="106"/>
  <c r="O212" i="106"/>
  <c r="O211" i="106"/>
  <c r="O210" i="106"/>
  <c r="O209" i="106"/>
  <c r="O208" i="106"/>
  <c r="O207" i="106"/>
  <c r="O206" i="106"/>
  <c r="O205" i="106"/>
  <c r="O204" i="106"/>
  <c r="O203" i="106"/>
  <c r="O202" i="106"/>
  <c r="O201" i="106"/>
  <c r="O200" i="106"/>
  <c r="O199" i="106"/>
  <c r="O198" i="106"/>
  <c r="O197" i="106"/>
  <c r="O196" i="106"/>
  <c r="O195" i="106"/>
  <c r="O194" i="106"/>
  <c r="O193" i="106"/>
  <c r="O192" i="106"/>
  <c r="O191" i="106"/>
  <c r="O190" i="106"/>
  <c r="O189" i="106"/>
  <c r="O188" i="106"/>
  <c r="O187" i="106"/>
  <c r="O186" i="106"/>
  <c r="O185" i="106"/>
  <c r="O184" i="106"/>
  <c r="O183" i="106"/>
  <c r="O182" i="106"/>
  <c r="O181" i="106"/>
  <c r="O180" i="106"/>
  <c r="O179" i="106"/>
  <c r="O178" i="106"/>
  <c r="O177" i="106"/>
  <c r="O176" i="106"/>
  <c r="O175" i="106"/>
  <c r="O174" i="106"/>
  <c r="O173" i="106"/>
  <c r="O172" i="106"/>
  <c r="O171" i="106"/>
  <c r="O170" i="106"/>
  <c r="O169" i="106"/>
  <c r="O168" i="106"/>
  <c r="O167" i="106"/>
  <c r="O166" i="106"/>
  <c r="O165" i="106"/>
  <c r="O164" i="106"/>
  <c r="O163" i="106"/>
  <c r="O162" i="106"/>
  <c r="O161" i="106"/>
  <c r="O160" i="106"/>
  <c r="O159" i="106"/>
  <c r="O158" i="106"/>
  <c r="O157" i="106"/>
  <c r="O156" i="106"/>
  <c r="O155" i="106"/>
  <c r="O154" i="106"/>
  <c r="O153" i="106"/>
  <c r="O152" i="106"/>
  <c r="O151" i="106"/>
  <c r="O150" i="106"/>
  <c r="O149" i="106"/>
  <c r="O148" i="106"/>
  <c r="O147" i="106"/>
  <c r="O146" i="106"/>
  <c r="O145" i="106"/>
  <c r="O144" i="106"/>
  <c r="O143" i="106"/>
  <c r="O142" i="106"/>
  <c r="O141" i="106"/>
  <c r="O140" i="106"/>
  <c r="O139" i="106"/>
  <c r="O138" i="106"/>
  <c r="O137" i="106"/>
  <c r="O136" i="106"/>
  <c r="O135" i="106"/>
  <c r="O134" i="106"/>
  <c r="O133" i="106"/>
  <c r="O132" i="106"/>
  <c r="O131" i="106"/>
  <c r="O130" i="106"/>
  <c r="O129" i="106"/>
  <c r="O128" i="106"/>
  <c r="O127" i="106"/>
  <c r="O126" i="106"/>
  <c r="O125" i="106"/>
  <c r="O124" i="106"/>
  <c r="O123" i="106"/>
  <c r="G123" i="106"/>
  <c r="O122" i="106"/>
  <c r="G122" i="106"/>
  <c r="O121" i="106"/>
  <c r="O120" i="106"/>
  <c r="G120" i="106"/>
  <c r="O119" i="106"/>
  <c r="G119" i="106"/>
  <c r="O118" i="106"/>
  <c r="G118" i="106"/>
  <c r="O117" i="106"/>
  <c r="O116" i="106"/>
  <c r="O115" i="106"/>
  <c r="O114" i="106"/>
  <c r="O113" i="106"/>
  <c r="O112" i="106"/>
  <c r="O111" i="106"/>
  <c r="O110" i="106"/>
  <c r="O109" i="106"/>
  <c r="O108" i="106"/>
  <c r="O107" i="106"/>
  <c r="O106" i="106"/>
  <c r="O105" i="106"/>
  <c r="O104" i="106"/>
  <c r="O103" i="106"/>
  <c r="O102" i="106"/>
  <c r="O101" i="106"/>
  <c r="O100" i="106"/>
  <c r="O99" i="106"/>
  <c r="O98" i="106"/>
  <c r="O97" i="106"/>
  <c r="O96" i="106"/>
  <c r="O95" i="106"/>
  <c r="O94" i="106"/>
  <c r="O93" i="106"/>
  <c r="O92" i="106"/>
  <c r="O91" i="106"/>
  <c r="O90" i="106"/>
  <c r="O89" i="106"/>
  <c r="O88" i="106"/>
  <c r="O87" i="106"/>
  <c r="O86" i="106"/>
  <c r="O85" i="106"/>
  <c r="O84" i="106"/>
  <c r="O83" i="106"/>
  <c r="O82" i="106"/>
  <c r="O81" i="106"/>
  <c r="O80" i="106"/>
  <c r="O79" i="106"/>
  <c r="O78" i="106"/>
  <c r="O77" i="106"/>
  <c r="O76" i="106"/>
  <c r="O75" i="106"/>
  <c r="O74" i="106"/>
  <c r="O73" i="106"/>
  <c r="O72" i="106"/>
  <c r="O71" i="106"/>
  <c r="O70" i="106"/>
  <c r="O69" i="106"/>
  <c r="O68" i="106"/>
  <c r="O67" i="106"/>
  <c r="O66" i="106"/>
  <c r="O65" i="106"/>
  <c r="O64" i="106"/>
  <c r="O63" i="106"/>
  <c r="O62" i="106"/>
  <c r="O61" i="106"/>
  <c r="O60" i="106"/>
  <c r="O59" i="106"/>
  <c r="O58" i="106"/>
  <c r="O57" i="106"/>
  <c r="O56" i="106"/>
  <c r="O55" i="106"/>
  <c r="O54" i="106"/>
  <c r="O53" i="106"/>
  <c r="O52" i="106"/>
  <c r="O51" i="106"/>
  <c r="O50" i="106"/>
  <c r="O49" i="106"/>
  <c r="O48" i="106"/>
  <c r="O47" i="106"/>
  <c r="O46" i="106"/>
  <c r="O45" i="106"/>
  <c r="O44" i="106"/>
  <c r="O43" i="106"/>
  <c r="O42" i="106"/>
  <c r="O41" i="106"/>
  <c r="O40" i="106"/>
  <c r="O39" i="106"/>
  <c r="O38" i="106"/>
  <c r="O37" i="106"/>
  <c r="O36" i="106"/>
  <c r="O35" i="106"/>
  <c r="O34" i="106"/>
  <c r="O33" i="106"/>
  <c r="O32" i="106"/>
  <c r="O31" i="106"/>
  <c r="O30" i="106"/>
  <c r="O29" i="106"/>
  <c r="O28" i="106"/>
  <c r="O27" i="106"/>
  <c r="E27" i="106"/>
  <c r="F27" i="106" s="1"/>
  <c r="O26" i="106"/>
  <c r="E26" i="106"/>
  <c r="O25" i="106"/>
  <c r="F25" i="106"/>
  <c r="O24" i="106"/>
  <c r="O23" i="106"/>
  <c r="O22" i="106"/>
  <c r="O21" i="106"/>
  <c r="O20" i="106"/>
  <c r="O19" i="106"/>
  <c r="O18" i="106"/>
  <c r="O17" i="106"/>
  <c r="B17" i="106"/>
  <c r="O16" i="106"/>
  <c r="B16" i="106"/>
  <c r="O15" i="106"/>
  <c r="O14" i="106"/>
  <c r="O13" i="106"/>
  <c r="O12" i="106"/>
  <c r="B12" i="106"/>
  <c r="U11" i="106" s="1"/>
  <c r="V11" i="106" s="1"/>
  <c r="O11" i="106"/>
  <c r="B11" i="106"/>
  <c r="B37" i="106" s="1"/>
  <c r="O10" i="106"/>
  <c r="B10" i="106"/>
  <c r="O9" i="106"/>
  <c r="B9" i="106"/>
  <c r="O8" i="106"/>
  <c r="O7" i="106"/>
  <c r="O6" i="106"/>
  <c r="O5" i="106"/>
  <c r="O4" i="106"/>
  <c r="B4" i="106"/>
  <c r="O3" i="106"/>
  <c r="B3" i="106"/>
  <c r="O252" i="105"/>
  <c r="O251" i="105"/>
  <c r="O250" i="105"/>
  <c r="O249" i="105"/>
  <c r="O248" i="105"/>
  <c r="O247" i="105"/>
  <c r="O246" i="105"/>
  <c r="O245" i="105"/>
  <c r="O244" i="105"/>
  <c r="O243" i="105"/>
  <c r="O242" i="105"/>
  <c r="O241" i="105"/>
  <c r="O240" i="105"/>
  <c r="O239" i="105"/>
  <c r="O238" i="105"/>
  <c r="O237" i="105"/>
  <c r="O236" i="105"/>
  <c r="O235" i="105"/>
  <c r="O234" i="105"/>
  <c r="O233" i="105"/>
  <c r="O232" i="105"/>
  <c r="O231" i="105"/>
  <c r="O230" i="105"/>
  <c r="O229" i="105"/>
  <c r="O228" i="105"/>
  <c r="O227" i="105"/>
  <c r="O226" i="105"/>
  <c r="O225" i="105"/>
  <c r="O224" i="105"/>
  <c r="O223" i="105"/>
  <c r="O222" i="105"/>
  <c r="O221" i="105"/>
  <c r="O220" i="105"/>
  <c r="O219" i="105"/>
  <c r="O218" i="105"/>
  <c r="O217" i="105"/>
  <c r="O216" i="105"/>
  <c r="O215" i="105"/>
  <c r="O214" i="105"/>
  <c r="O213" i="105"/>
  <c r="O212" i="105"/>
  <c r="O211" i="105"/>
  <c r="O210" i="105"/>
  <c r="O209" i="105"/>
  <c r="O208" i="105"/>
  <c r="O207" i="105"/>
  <c r="O206" i="105"/>
  <c r="O205" i="105"/>
  <c r="O204" i="105"/>
  <c r="O203" i="105"/>
  <c r="O202" i="105"/>
  <c r="O201" i="105"/>
  <c r="O200" i="105"/>
  <c r="O199" i="105"/>
  <c r="O198" i="105"/>
  <c r="O197" i="105"/>
  <c r="O196" i="105"/>
  <c r="O195" i="105"/>
  <c r="O194" i="105"/>
  <c r="O193" i="105"/>
  <c r="O192" i="105"/>
  <c r="O191" i="105"/>
  <c r="O190" i="105"/>
  <c r="O189" i="105"/>
  <c r="O188" i="105"/>
  <c r="O187" i="105"/>
  <c r="O186" i="105"/>
  <c r="O185" i="105"/>
  <c r="O184" i="105"/>
  <c r="O183" i="105"/>
  <c r="O182" i="105"/>
  <c r="O181" i="105"/>
  <c r="O180" i="105"/>
  <c r="O179" i="105"/>
  <c r="O178" i="105"/>
  <c r="O177" i="105"/>
  <c r="O176" i="105"/>
  <c r="O175" i="105"/>
  <c r="O174" i="105"/>
  <c r="O173" i="105"/>
  <c r="O172" i="105"/>
  <c r="O171" i="105"/>
  <c r="O170" i="105"/>
  <c r="O169" i="105"/>
  <c r="O168" i="105"/>
  <c r="O167" i="105"/>
  <c r="O166" i="105"/>
  <c r="O165" i="105"/>
  <c r="O164" i="105"/>
  <c r="O163" i="105"/>
  <c r="O162" i="105"/>
  <c r="O161" i="105"/>
  <c r="O160" i="105"/>
  <c r="O159" i="105"/>
  <c r="O158" i="105"/>
  <c r="O157" i="105"/>
  <c r="O156" i="105"/>
  <c r="O155" i="105"/>
  <c r="O154" i="105"/>
  <c r="O153" i="105"/>
  <c r="O152" i="105"/>
  <c r="O151" i="105"/>
  <c r="O150" i="105"/>
  <c r="O149" i="105"/>
  <c r="O148" i="105"/>
  <c r="O147" i="105"/>
  <c r="O146" i="105"/>
  <c r="O145" i="105"/>
  <c r="O144" i="105"/>
  <c r="O143" i="105"/>
  <c r="O142" i="105"/>
  <c r="O141" i="105"/>
  <c r="O140" i="105"/>
  <c r="O139" i="105"/>
  <c r="O138" i="105"/>
  <c r="O137" i="105"/>
  <c r="O136" i="105"/>
  <c r="O135" i="105"/>
  <c r="O134" i="105"/>
  <c r="O133" i="105"/>
  <c r="O132" i="105"/>
  <c r="O131" i="105"/>
  <c r="O130" i="105"/>
  <c r="O129" i="105"/>
  <c r="O128" i="105"/>
  <c r="O127" i="105"/>
  <c r="O126" i="105"/>
  <c r="O125" i="105"/>
  <c r="O124" i="105"/>
  <c r="O123" i="105"/>
  <c r="G123" i="105"/>
  <c r="O122" i="105"/>
  <c r="G122" i="105"/>
  <c r="O121" i="105"/>
  <c r="O120" i="105"/>
  <c r="G120" i="105"/>
  <c r="O119" i="105"/>
  <c r="G119" i="105"/>
  <c r="O118" i="105"/>
  <c r="G118" i="105"/>
  <c r="O117" i="105"/>
  <c r="O116" i="105"/>
  <c r="O115" i="105"/>
  <c r="O114" i="105"/>
  <c r="O113" i="105"/>
  <c r="O112" i="105"/>
  <c r="O111" i="105"/>
  <c r="O110" i="105"/>
  <c r="O109" i="105"/>
  <c r="O108" i="105"/>
  <c r="O107" i="105"/>
  <c r="O106" i="105"/>
  <c r="O105" i="105"/>
  <c r="O104" i="105"/>
  <c r="O103" i="105"/>
  <c r="O102" i="105"/>
  <c r="O101" i="105"/>
  <c r="O100" i="105"/>
  <c r="O99" i="105"/>
  <c r="O98" i="105"/>
  <c r="O97" i="105"/>
  <c r="O96" i="105"/>
  <c r="O95" i="105"/>
  <c r="O94" i="105"/>
  <c r="O93" i="105"/>
  <c r="O92" i="105"/>
  <c r="O91" i="105"/>
  <c r="O90" i="105"/>
  <c r="O89" i="105"/>
  <c r="O88" i="105"/>
  <c r="O87" i="105"/>
  <c r="O86" i="105"/>
  <c r="O85" i="105"/>
  <c r="O84" i="105"/>
  <c r="O83" i="105"/>
  <c r="O82" i="105"/>
  <c r="O81" i="105"/>
  <c r="O80" i="105"/>
  <c r="O79" i="105"/>
  <c r="O78" i="105"/>
  <c r="O77" i="105"/>
  <c r="O76" i="105"/>
  <c r="O75" i="105"/>
  <c r="O74" i="105"/>
  <c r="O73" i="105"/>
  <c r="O72" i="105"/>
  <c r="O71" i="105"/>
  <c r="O70" i="105"/>
  <c r="O69" i="105"/>
  <c r="O68" i="105"/>
  <c r="O67" i="105"/>
  <c r="O66" i="105"/>
  <c r="O65" i="105"/>
  <c r="O64" i="105"/>
  <c r="O63" i="105"/>
  <c r="O62" i="105"/>
  <c r="O61" i="105"/>
  <c r="O60" i="105"/>
  <c r="O59" i="105"/>
  <c r="O58" i="105"/>
  <c r="O57" i="105"/>
  <c r="O56" i="105"/>
  <c r="O55" i="105"/>
  <c r="O54" i="105"/>
  <c r="O53" i="105"/>
  <c r="O52" i="105"/>
  <c r="O51" i="105"/>
  <c r="O50" i="105"/>
  <c r="O49" i="105"/>
  <c r="O48" i="105"/>
  <c r="O47" i="105"/>
  <c r="O46" i="105"/>
  <c r="O45" i="105"/>
  <c r="O44" i="105"/>
  <c r="O43" i="105"/>
  <c r="O42" i="105"/>
  <c r="O41" i="105"/>
  <c r="O40" i="105"/>
  <c r="O39" i="105"/>
  <c r="O38" i="105"/>
  <c r="O37" i="105"/>
  <c r="O36" i="105"/>
  <c r="O35" i="105"/>
  <c r="O34" i="105"/>
  <c r="O33" i="105"/>
  <c r="O32" i="105"/>
  <c r="O31" i="105"/>
  <c r="O30" i="105"/>
  <c r="O29" i="105"/>
  <c r="O28" i="105"/>
  <c r="O27" i="105"/>
  <c r="E27" i="105"/>
  <c r="O26" i="105"/>
  <c r="E26" i="105"/>
  <c r="E30" i="105" s="1"/>
  <c r="O25" i="105"/>
  <c r="F25" i="105"/>
  <c r="O24" i="105"/>
  <c r="O23" i="105"/>
  <c r="O22" i="105"/>
  <c r="O21" i="105"/>
  <c r="O20" i="105"/>
  <c r="O19" i="105"/>
  <c r="O18" i="105"/>
  <c r="O17" i="105"/>
  <c r="B17" i="105"/>
  <c r="O16" i="105"/>
  <c r="B16" i="105"/>
  <c r="O15" i="105"/>
  <c r="O14" i="105"/>
  <c r="O13" i="105"/>
  <c r="O12" i="105"/>
  <c r="B12" i="105"/>
  <c r="U11" i="105" s="1"/>
  <c r="V11" i="105" s="1"/>
  <c r="O11" i="105"/>
  <c r="B11" i="105"/>
  <c r="B37" i="105" s="1"/>
  <c r="O10" i="105"/>
  <c r="B10" i="105"/>
  <c r="O9" i="105"/>
  <c r="B9" i="105"/>
  <c r="O8" i="105"/>
  <c r="O7" i="105"/>
  <c r="O6" i="105"/>
  <c r="O5" i="105"/>
  <c r="O4" i="105"/>
  <c r="B4" i="105"/>
  <c r="O3" i="105"/>
  <c r="B3" i="105"/>
  <c r="O252" i="104"/>
  <c r="O251" i="104"/>
  <c r="O250" i="104"/>
  <c r="O249" i="104"/>
  <c r="O248" i="104"/>
  <c r="O247" i="104"/>
  <c r="O246" i="104"/>
  <c r="O245" i="104"/>
  <c r="O244" i="104"/>
  <c r="O243" i="104"/>
  <c r="O242" i="104"/>
  <c r="O241" i="104"/>
  <c r="O240" i="104"/>
  <c r="O239" i="104"/>
  <c r="O238" i="104"/>
  <c r="O237" i="104"/>
  <c r="O236" i="104"/>
  <c r="O235" i="104"/>
  <c r="O234" i="104"/>
  <c r="O233" i="104"/>
  <c r="O232" i="104"/>
  <c r="O231" i="104"/>
  <c r="O230" i="104"/>
  <c r="O229" i="104"/>
  <c r="O228" i="104"/>
  <c r="O227" i="104"/>
  <c r="O226" i="104"/>
  <c r="O225" i="104"/>
  <c r="O224" i="104"/>
  <c r="O223" i="104"/>
  <c r="O222" i="104"/>
  <c r="O221" i="104"/>
  <c r="O220" i="104"/>
  <c r="O219" i="104"/>
  <c r="O218" i="104"/>
  <c r="O217" i="104"/>
  <c r="O216" i="104"/>
  <c r="O215" i="104"/>
  <c r="O214" i="104"/>
  <c r="O213" i="104"/>
  <c r="O212" i="104"/>
  <c r="O211" i="104"/>
  <c r="O210" i="104"/>
  <c r="O209" i="104"/>
  <c r="O208" i="104"/>
  <c r="O207" i="104"/>
  <c r="O206" i="104"/>
  <c r="O205" i="104"/>
  <c r="O204" i="104"/>
  <c r="O203" i="104"/>
  <c r="O202" i="104"/>
  <c r="O201" i="104"/>
  <c r="O200" i="104"/>
  <c r="O199" i="104"/>
  <c r="O198" i="104"/>
  <c r="O197" i="104"/>
  <c r="O196" i="104"/>
  <c r="O195" i="104"/>
  <c r="O194" i="104"/>
  <c r="O193" i="104"/>
  <c r="O192" i="104"/>
  <c r="O191" i="104"/>
  <c r="O190" i="104"/>
  <c r="O189" i="104"/>
  <c r="O188" i="104"/>
  <c r="O187" i="104"/>
  <c r="O186" i="104"/>
  <c r="O185" i="104"/>
  <c r="O184" i="104"/>
  <c r="O183" i="104"/>
  <c r="O182" i="104"/>
  <c r="O181" i="104"/>
  <c r="O180" i="104"/>
  <c r="O179" i="104"/>
  <c r="O178" i="104"/>
  <c r="O177" i="104"/>
  <c r="O176" i="104"/>
  <c r="O175" i="104"/>
  <c r="O174" i="104"/>
  <c r="O173" i="104"/>
  <c r="O172" i="104"/>
  <c r="O171" i="104"/>
  <c r="O170" i="104"/>
  <c r="O169" i="104"/>
  <c r="O168" i="104"/>
  <c r="O167" i="104"/>
  <c r="O166" i="104"/>
  <c r="O165" i="104"/>
  <c r="O164" i="104"/>
  <c r="O163" i="104"/>
  <c r="O162" i="104"/>
  <c r="O161" i="104"/>
  <c r="O160" i="104"/>
  <c r="O159" i="104"/>
  <c r="O158" i="104"/>
  <c r="O157" i="104"/>
  <c r="O156" i="104"/>
  <c r="O155" i="104"/>
  <c r="O154" i="104"/>
  <c r="O153" i="104"/>
  <c r="O152" i="104"/>
  <c r="O151" i="104"/>
  <c r="O150" i="104"/>
  <c r="O149" i="104"/>
  <c r="O148" i="104"/>
  <c r="O147" i="104"/>
  <c r="O146" i="104"/>
  <c r="O145" i="104"/>
  <c r="O144" i="104"/>
  <c r="O143" i="104"/>
  <c r="O142" i="104"/>
  <c r="O141" i="104"/>
  <c r="O140" i="104"/>
  <c r="O139" i="104"/>
  <c r="O138" i="104"/>
  <c r="O137" i="104"/>
  <c r="O136" i="104"/>
  <c r="O135" i="104"/>
  <c r="O134" i="104"/>
  <c r="O133" i="104"/>
  <c r="O132" i="104"/>
  <c r="O131" i="104"/>
  <c r="O130" i="104"/>
  <c r="O129" i="104"/>
  <c r="O128" i="104"/>
  <c r="O127" i="104"/>
  <c r="O126" i="104"/>
  <c r="O125" i="104"/>
  <c r="O124" i="104"/>
  <c r="O123" i="104"/>
  <c r="G123" i="104"/>
  <c r="O122" i="104"/>
  <c r="G122" i="104"/>
  <c r="O121" i="104"/>
  <c r="O120" i="104"/>
  <c r="G120" i="104"/>
  <c r="O119" i="104"/>
  <c r="G119" i="104"/>
  <c r="O118" i="104"/>
  <c r="G118" i="104"/>
  <c r="O117" i="104"/>
  <c r="O116" i="104"/>
  <c r="O115" i="104"/>
  <c r="O114" i="104"/>
  <c r="O113" i="104"/>
  <c r="O112" i="104"/>
  <c r="O111" i="104"/>
  <c r="O110" i="104"/>
  <c r="O109" i="104"/>
  <c r="O108" i="104"/>
  <c r="O107" i="104"/>
  <c r="O106" i="104"/>
  <c r="O105" i="104"/>
  <c r="O104" i="104"/>
  <c r="O103" i="104"/>
  <c r="O102" i="104"/>
  <c r="O101" i="104"/>
  <c r="O100" i="104"/>
  <c r="O99" i="104"/>
  <c r="O98" i="104"/>
  <c r="O97" i="104"/>
  <c r="O96" i="104"/>
  <c r="O95" i="104"/>
  <c r="O94" i="104"/>
  <c r="O93" i="104"/>
  <c r="O92" i="104"/>
  <c r="O91" i="104"/>
  <c r="O90" i="104"/>
  <c r="O89" i="104"/>
  <c r="O88" i="104"/>
  <c r="O87" i="104"/>
  <c r="O86" i="104"/>
  <c r="O85" i="104"/>
  <c r="O84" i="104"/>
  <c r="O83" i="104"/>
  <c r="O82" i="104"/>
  <c r="O81" i="104"/>
  <c r="O80" i="104"/>
  <c r="O79" i="104"/>
  <c r="O78" i="104"/>
  <c r="O77" i="104"/>
  <c r="O76" i="104"/>
  <c r="O75" i="104"/>
  <c r="O74" i="104"/>
  <c r="O73" i="104"/>
  <c r="O72" i="104"/>
  <c r="O71" i="104"/>
  <c r="O70" i="104"/>
  <c r="O69" i="104"/>
  <c r="O68" i="104"/>
  <c r="O67" i="104"/>
  <c r="O66" i="104"/>
  <c r="O65" i="104"/>
  <c r="O64" i="104"/>
  <c r="O63" i="104"/>
  <c r="O62" i="104"/>
  <c r="O61" i="104"/>
  <c r="O60" i="104"/>
  <c r="O59" i="104"/>
  <c r="O58" i="104"/>
  <c r="O57" i="104"/>
  <c r="O56" i="104"/>
  <c r="O55" i="104"/>
  <c r="O54" i="104"/>
  <c r="O53" i="104"/>
  <c r="O52" i="104"/>
  <c r="O51" i="104"/>
  <c r="O50" i="104"/>
  <c r="O49" i="104"/>
  <c r="O48" i="104"/>
  <c r="O47" i="104"/>
  <c r="O46" i="104"/>
  <c r="O45" i="104"/>
  <c r="O44" i="104"/>
  <c r="O43" i="104"/>
  <c r="O42" i="104"/>
  <c r="O41" i="104"/>
  <c r="O40" i="104"/>
  <c r="O39" i="104"/>
  <c r="O38" i="104"/>
  <c r="O37" i="104"/>
  <c r="O36" i="104"/>
  <c r="O35" i="104"/>
  <c r="O34" i="104"/>
  <c r="O33" i="104"/>
  <c r="O32" i="104"/>
  <c r="O31" i="104"/>
  <c r="O30" i="104"/>
  <c r="O29" i="104"/>
  <c r="O28" i="104"/>
  <c r="O27" i="104"/>
  <c r="E27" i="104"/>
  <c r="O26" i="104"/>
  <c r="E26" i="104"/>
  <c r="O25" i="104"/>
  <c r="F25" i="104"/>
  <c r="O24" i="104"/>
  <c r="O23" i="104"/>
  <c r="O22" i="104"/>
  <c r="O21" i="104"/>
  <c r="O20" i="104"/>
  <c r="O19" i="104"/>
  <c r="O18" i="104"/>
  <c r="O17" i="104"/>
  <c r="B17" i="104"/>
  <c r="O16" i="104"/>
  <c r="B16" i="104"/>
  <c r="O15" i="104"/>
  <c r="O14" i="104"/>
  <c r="O13" i="104"/>
  <c r="O12" i="104"/>
  <c r="B12" i="104"/>
  <c r="U11" i="104" s="1"/>
  <c r="V11" i="104" s="1"/>
  <c r="O11" i="104"/>
  <c r="B11" i="104"/>
  <c r="O10" i="104"/>
  <c r="B10" i="104"/>
  <c r="O9" i="104"/>
  <c r="B9" i="104"/>
  <c r="O8" i="104"/>
  <c r="O7" i="104"/>
  <c r="O6" i="104"/>
  <c r="O5" i="104"/>
  <c r="O4" i="104"/>
  <c r="B4" i="104"/>
  <c r="O3" i="104"/>
  <c r="B3" i="104"/>
  <c r="O252" i="102"/>
  <c r="O251" i="102"/>
  <c r="O250" i="102"/>
  <c r="O249" i="102"/>
  <c r="O248" i="102"/>
  <c r="O247" i="102"/>
  <c r="O246" i="102"/>
  <c r="O245" i="102"/>
  <c r="O244" i="102"/>
  <c r="O243" i="102"/>
  <c r="O242" i="102"/>
  <c r="O241" i="102"/>
  <c r="O240" i="102"/>
  <c r="O239" i="102"/>
  <c r="O238" i="102"/>
  <c r="O237" i="102"/>
  <c r="O236" i="102"/>
  <c r="O235" i="102"/>
  <c r="O234" i="102"/>
  <c r="O233" i="102"/>
  <c r="O232" i="102"/>
  <c r="O231" i="102"/>
  <c r="O230" i="102"/>
  <c r="O229" i="102"/>
  <c r="O228" i="102"/>
  <c r="O227" i="102"/>
  <c r="O226" i="102"/>
  <c r="O225" i="102"/>
  <c r="O224" i="102"/>
  <c r="O223" i="102"/>
  <c r="O222" i="102"/>
  <c r="O221" i="102"/>
  <c r="O220" i="102"/>
  <c r="O219" i="102"/>
  <c r="O218" i="102"/>
  <c r="O217" i="102"/>
  <c r="O216" i="102"/>
  <c r="O215" i="102"/>
  <c r="O214" i="102"/>
  <c r="O213" i="102"/>
  <c r="O212" i="102"/>
  <c r="O211" i="102"/>
  <c r="O210" i="102"/>
  <c r="O209" i="102"/>
  <c r="O208" i="102"/>
  <c r="O207" i="102"/>
  <c r="O206" i="102"/>
  <c r="O205" i="102"/>
  <c r="O204" i="102"/>
  <c r="O203" i="102"/>
  <c r="O202" i="102"/>
  <c r="O201" i="102"/>
  <c r="O200" i="102"/>
  <c r="O199" i="102"/>
  <c r="O198" i="102"/>
  <c r="O197" i="102"/>
  <c r="O196" i="102"/>
  <c r="O195" i="102"/>
  <c r="O194" i="102"/>
  <c r="O193" i="102"/>
  <c r="O192" i="102"/>
  <c r="O191" i="102"/>
  <c r="O190" i="102"/>
  <c r="O189" i="102"/>
  <c r="O188" i="102"/>
  <c r="O187" i="102"/>
  <c r="O186" i="102"/>
  <c r="O185" i="102"/>
  <c r="O184" i="102"/>
  <c r="O183" i="102"/>
  <c r="O182" i="102"/>
  <c r="O181" i="102"/>
  <c r="O180" i="102"/>
  <c r="O179" i="102"/>
  <c r="O178" i="102"/>
  <c r="O177" i="102"/>
  <c r="O176" i="102"/>
  <c r="O175" i="102"/>
  <c r="O174" i="102"/>
  <c r="O173" i="102"/>
  <c r="O172" i="102"/>
  <c r="O171" i="102"/>
  <c r="O170" i="102"/>
  <c r="O169" i="102"/>
  <c r="O168" i="102"/>
  <c r="O167" i="102"/>
  <c r="O166" i="102"/>
  <c r="O165" i="102"/>
  <c r="O164" i="102"/>
  <c r="O163" i="102"/>
  <c r="O162" i="102"/>
  <c r="O161" i="102"/>
  <c r="O160" i="102"/>
  <c r="O159" i="102"/>
  <c r="O158" i="102"/>
  <c r="O157" i="102"/>
  <c r="O156" i="102"/>
  <c r="O155" i="102"/>
  <c r="O154" i="102"/>
  <c r="O153" i="102"/>
  <c r="O152" i="102"/>
  <c r="O151" i="102"/>
  <c r="O150" i="102"/>
  <c r="O149" i="102"/>
  <c r="O148" i="102"/>
  <c r="O147" i="102"/>
  <c r="O146" i="102"/>
  <c r="O145" i="102"/>
  <c r="O144" i="102"/>
  <c r="O143" i="102"/>
  <c r="O142" i="102"/>
  <c r="O141" i="102"/>
  <c r="O140" i="102"/>
  <c r="O139" i="102"/>
  <c r="O138" i="102"/>
  <c r="O137" i="102"/>
  <c r="O136" i="102"/>
  <c r="O135" i="102"/>
  <c r="O134" i="102"/>
  <c r="O133" i="102"/>
  <c r="O132" i="102"/>
  <c r="O131" i="102"/>
  <c r="O130" i="102"/>
  <c r="O129" i="102"/>
  <c r="O128" i="102"/>
  <c r="O127" i="102"/>
  <c r="O126" i="102"/>
  <c r="O125" i="102"/>
  <c r="O124" i="102"/>
  <c r="O123" i="102"/>
  <c r="G123" i="102"/>
  <c r="O122" i="102"/>
  <c r="G122" i="102"/>
  <c r="O121" i="102"/>
  <c r="O120" i="102"/>
  <c r="G120" i="102"/>
  <c r="O119" i="102"/>
  <c r="G119" i="102"/>
  <c r="O118" i="102"/>
  <c r="G118" i="102"/>
  <c r="O117" i="102"/>
  <c r="O116" i="102"/>
  <c r="O115" i="102"/>
  <c r="O114" i="102"/>
  <c r="O113" i="102"/>
  <c r="O112" i="102"/>
  <c r="O111" i="102"/>
  <c r="O110" i="102"/>
  <c r="O109" i="102"/>
  <c r="O108" i="102"/>
  <c r="O107" i="102"/>
  <c r="O106" i="102"/>
  <c r="O105" i="102"/>
  <c r="O104" i="102"/>
  <c r="O103" i="102"/>
  <c r="O102" i="102"/>
  <c r="O101" i="102"/>
  <c r="O100" i="102"/>
  <c r="O99" i="102"/>
  <c r="O98" i="102"/>
  <c r="O97" i="102"/>
  <c r="O96" i="102"/>
  <c r="O95" i="102"/>
  <c r="O94" i="102"/>
  <c r="O93" i="102"/>
  <c r="O92" i="102"/>
  <c r="O91" i="102"/>
  <c r="O90" i="102"/>
  <c r="O89" i="102"/>
  <c r="O88" i="102"/>
  <c r="O87" i="102"/>
  <c r="O86" i="102"/>
  <c r="O85" i="102"/>
  <c r="O84" i="102"/>
  <c r="O83" i="102"/>
  <c r="O82" i="102"/>
  <c r="O81" i="102"/>
  <c r="O80" i="102"/>
  <c r="O79" i="102"/>
  <c r="O78" i="102"/>
  <c r="O77" i="102"/>
  <c r="O76" i="102"/>
  <c r="O75" i="102"/>
  <c r="O74" i="102"/>
  <c r="O73" i="102"/>
  <c r="O72" i="102"/>
  <c r="O71" i="102"/>
  <c r="O70" i="102"/>
  <c r="O69" i="102"/>
  <c r="O68" i="102"/>
  <c r="O67" i="102"/>
  <c r="O66" i="102"/>
  <c r="O65" i="102"/>
  <c r="O64" i="102"/>
  <c r="O63" i="102"/>
  <c r="O62" i="102"/>
  <c r="O61" i="102"/>
  <c r="O60" i="102"/>
  <c r="O59" i="102"/>
  <c r="O58" i="102"/>
  <c r="O57" i="102"/>
  <c r="O56" i="102"/>
  <c r="O55" i="102"/>
  <c r="O54" i="102"/>
  <c r="O53" i="102"/>
  <c r="O52" i="102"/>
  <c r="O51" i="102"/>
  <c r="O50" i="102"/>
  <c r="O49" i="102"/>
  <c r="O48" i="102"/>
  <c r="O47" i="102"/>
  <c r="O46" i="102"/>
  <c r="O45" i="102"/>
  <c r="O44" i="102"/>
  <c r="O43" i="102"/>
  <c r="O42" i="102"/>
  <c r="O41" i="102"/>
  <c r="O40" i="102"/>
  <c r="O39" i="102"/>
  <c r="O38" i="102"/>
  <c r="O37" i="102"/>
  <c r="O36" i="102"/>
  <c r="O35" i="102"/>
  <c r="O34" i="102"/>
  <c r="O33" i="102"/>
  <c r="O32" i="102"/>
  <c r="O31" i="102"/>
  <c r="O30" i="102"/>
  <c r="O29" i="102"/>
  <c r="O28" i="102"/>
  <c r="O27" i="102"/>
  <c r="E27" i="102"/>
  <c r="E30" i="102" s="1"/>
  <c r="O26" i="102"/>
  <c r="E26" i="102"/>
  <c r="O25" i="102"/>
  <c r="F25" i="102"/>
  <c r="O24" i="102"/>
  <c r="O23" i="102"/>
  <c r="O22" i="102"/>
  <c r="B22" i="102"/>
  <c r="H58" i="102" s="1"/>
  <c r="O21" i="102"/>
  <c r="O20" i="102"/>
  <c r="O19" i="102"/>
  <c r="O18" i="102"/>
  <c r="O17" i="102"/>
  <c r="B17" i="102"/>
  <c r="O16" i="102"/>
  <c r="B16" i="102"/>
  <c r="C21" i="102" s="1"/>
  <c r="U7" i="102" s="1"/>
  <c r="V7" i="102" s="1"/>
  <c r="O15" i="102"/>
  <c r="O14" i="102"/>
  <c r="O13" i="102"/>
  <c r="O12" i="102"/>
  <c r="B12" i="102"/>
  <c r="U11" i="102" s="1"/>
  <c r="V11" i="102" s="1"/>
  <c r="O11" i="102"/>
  <c r="B11" i="102"/>
  <c r="B37" i="102" s="1"/>
  <c r="O10" i="102"/>
  <c r="B10" i="102"/>
  <c r="O9" i="102"/>
  <c r="B9" i="102"/>
  <c r="O8" i="102"/>
  <c r="O7" i="102"/>
  <c r="O6" i="102"/>
  <c r="O5" i="102"/>
  <c r="O4" i="102"/>
  <c r="B4" i="102"/>
  <c r="O3" i="102"/>
  <c r="B3" i="102"/>
  <c r="O252" i="101"/>
  <c r="O251" i="101"/>
  <c r="O250" i="101"/>
  <c r="O249" i="101"/>
  <c r="O248" i="101"/>
  <c r="O247" i="101"/>
  <c r="O246" i="101"/>
  <c r="O245" i="101"/>
  <c r="O244" i="101"/>
  <c r="O243" i="101"/>
  <c r="O242" i="101"/>
  <c r="O241" i="101"/>
  <c r="O240" i="101"/>
  <c r="O239" i="101"/>
  <c r="O238" i="101"/>
  <c r="O237" i="101"/>
  <c r="O236" i="101"/>
  <c r="O235" i="101"/>
  <c r="O234" i="101"/>
  <c r="O233" i="101"/>
  <c r="O232" i="101"/>
  <c r="O231" i="101"/>
  <c r="O230" i="101"/>
  <c r="O229" i="101"/>
  <c r="O228" i="101"/>
  <c r="O227" i="101"/>
  <c r="O226" i="101"/>
  <c r="O225" i="101"/>
  <c r="O224" i="101"/>
  <c r="O223" i="101"/>
  <c r="O222" i="101"/>
  <c r="O221" i="101"/>
  <c r="O220" i="101"/>
  <c r="O219" i="101"/>
  <c r="O218" i="101"/>
  <c r="O217" i="101"/>
  <c r="O216" i="101"/>
  <c r="O215" i="101"/>
  <c r="O214" i="101"/>
  <c r="O213" i="101"/>
  <c r="O212" i="101"/>
  <c r="O211" i="101"/>
  <c r="O210" i="101"/>
  <c r="O209" i="101"/>
  <c r="O208" i="101"/>
  <c r="O207" i="101"/>
  <c r="O206" i="101"/>
  <c r="O205" i="101"/>
  <c r="O204" i="101"/>
  <c r="O203" i="101"/>
  <c r="O202" i="101"/>
  <c r="O201" i="101"/>
  <c r="O200" i="101"/>
  <c r="O199" i="101"/>
  <c r="O198" i="101"/>
  <c r="O197" i="101"/>
  <c r="O196" i="101"/>
  <c r="O195" i="101"/>
  <c r="O194" i="101"/>
  <c r="O193" i="101"/>
  <c r="O192" i="101"/>
  <c r="O191" i="101"/>
  <c r="O190" i="101"/>
  <c r="O189" i="101"/>
  <c r="O188" i="101"/>
  <c r="O187" i="101"/>
  <c r="O186" i="101"/>
  <c r="O185" i="101"/>
  <c r="O184" i="101"/>
  <c r="O183" i="101"/>
  <c r="O182" i="101"/>
  <c r="O181" i="101"/>
  <c r="O180" i="101"/>
  <c r="O179" i="101"/>
  <c r="O178" i="101"/>
  <c r="O177" i="101"/>
  <c r="O176" i="101"/>
  <c r="O175" i="101"/>
  <c r="O174" i="101"/>
  <c r="O173" i="101"/>
  <c r="O172" i="101"/>
  <c r="O171" i="101"/>
  <c r="O170" i="101"/>
  <c r="O169" i="101"/>
  <c r="O168" i="101"/>
  <c r="O167" i="101"/>
  <c r="O166" i="101"/>
  <c r="O165" i="101"/>
  <c r="O164" i="101"/>
  <c r="O163" i="101"/>
  <c r="O162" i="101"/>
  <c r="O161" i="101"/>
  <c r="O160" i="101"/>
  <c r="O159" i="101"/>
  <c r="O158" i="101"/>
  <c r="O157" i="101"/>
  <c r="O156" i="101"/>
  <c r="O155" i="101"/>
  <c r="O154" i="101"/>
  <c r="O153" i="101"/>
  <c r="O152" i="101"/>
  <c r="O151" i="101"/>
  <c r="O150" i="101"/>
  <c r="O149" i="101"/>
  <c r="O148" i="101"/>
  <c r="O147" i="101"/>
  <c r="O146" i="101"/>
  <c r="O145" i="101"/>
  <c r="O144" i="101"/>
  <c r="O143" i="101"/>
  <c r="O142" i="101"/>
  <c r="O141" i="101"/>
  <c r="O140" i="101"/>
  <c r="O139" i="101"/>
  <c r="O138" i="101"/>
  <c r="O137" i="101"/>
  <c r="O136" i="101"/>
  <c r="O135" i="101"/>
  <c r="O134" i="101"/>
  <c r="O133" i="101"/>
  <c r="O132" i="101"/>
  <c r="O131" i="101"/>
  <c r="O130" i="101"/>
  <c r="O129" i="101"/>
  <c r="O128" i="101"/>
  <c r="O127" i="101"/>
  <c r="O126" i="101"/>
  <c r="O125" i="101"/>
  <c r="O124" i="101"/>
  <c r="O123" i="101"/>
  <c r="G123" i="101"/>
  <c r="O122" i="101"/>
  <c r="G122" i="101"/>
  <c r="O121" i="101"/>
  <c r="O120" i="101"/>
  <c r="G120" i="101"/>
  <c r="O119" i="101"/>
  <c r="G119" i="101"/>
  <c r="O118" i="101"/>
  <c r="G118" i="101"/>
  <c r="O117" i="101"/>
  <c r="O116" i="101"/>
  <c r="O115" i="101"/>
  <c r="O114" i="101"/>
  <c r="O113" i="101"/>
  <c r="O112" i="101"/>
  <c r="O111" i="101"/>
  <c r="O110" i="101"/>
  <c r="O109" i="101"/>
  <c r="O108" i="101"/>
  <c r="O107" i="101"/>
  <c r="O106" i="101"/>
  <c r="O105" i="101"/>
  <c r="O104" i="101"/>
  <c r="O103" i="101"/>
  <c r="O102" i="101"/>
  <c r="O101" i="101"/>
  <c r="O100" i="101"/>
  <c r="O99" i="101"/>
  <c r="O98" i="101"/>
  <c r="O97" i="101"/>
  <c r="O96" i="101"/>
  <c r="O95" i="101"/>
  <c r="O94" i="101"/>
  <c r="O93" i="101"/>
  <c r="O92" i="101"/>
  <c r="O91" i="101"/>
  <c r="O90" i="101"/>
  <c r="O89" i="101"/>
  <c r="O88" i="101"/>
  <c r="O87" i="101"/>
  <c r="O86" i="101"/>
  <c r="O85" i="101"/>
  <c r="O84" i="101"/>
  <c r="O83" i="101"/>
  <c r="O82" i="101"/>
  <c r="O81" i="101"/>
  <c r="O80" i="101"/>
  <c r="O79" i="101"/>
  <c r="O78" i="101"/>
  <c r="O77" i="101"/>
  <c r="O76" i="101"/>
  <c r="O75" i="101"/>
  <c r="O74" i="101"/>
  <c r="O73" i="101"/>
  <c r="O72" i="101"/>
  <c r="O71" i="101"/>
  <c r="O70" i="101"/>
  <c r="O69" i="101"/>
  <c r="O68" i="101"/>
  <c r="O67" i="101"/>
  <c r="O66" i="101"/>
  <c r="O65" i="101"/>
  <c r="O64" i="101"/>
  <c r="O63" i="101"/>
  <c r="O62" i="101"/>
  <c r="O61" i="101"/>
  <c r="O60" i="101"/>
  <c r="O59" i="101"/>
  <c r="O58" i="101"/>
  <c r="O57" i="101"/>
  <c r="O56" i="101"/>
  <c r="O55" i="101"/>
  <c r="O54" i="101"/>
  <c r="O53" i="101"/>
  <c r="O52" i="101"/>
  <c r="O51" i="101"/>
  <c r="O50" i="101"/>
  <c r="O49" i="101"/>
  <c r="O48" i="101"/>
  <c r="O47" i="101"/>
  <c r="O46" i="101"/>
  <c r="O45" i="101"/>
  <c r="O44" i="101"/>
  <c r="O43" i="101"/>
  <c r="O42" i="101"/>
  <c r="O41" i="101"/>
  <c r="O40" i="101"/>
  <c r="O39" i="101"/>
  <c r="O38" i="101"/>
  <c r="O37" i="101"/>
  <c r="O36" i="101"/>
  <c r="O35" i="101"/>
  <c r="O34" i="101"/>
  <c r="O33" i="101"/>
  <c r="O32" i="101"/>
  <c r="O31" i="101"/>
  <c r="O30" i="101"/>
  <c r="O29" i="101"/>
  <c r="O28" i="101"/>
  <c r="O27" i="101"/>
  <c r="E27" i="101"/>
  <c r="O26" i="101"/>
  <c r="E26" i="101"/>
  <c r="F28" i="101" s="1"/>
  <c r="O25" i="101"/>
  <c r="F25" i="101"/>
  <c r="O24" i="101"/>
  <c r="O23" i="101"/>
  <c r="O22" i="101"/>
  <c r="O21" i="101"/>
  <c r="O20" i="101"/>
  <c r="O19" i="101"/>
  <c r="O18" i="101"/>
  <c r="O17" i="101"/>
  <c r="B17" i="101"/>
  <c r="O16" i="101"/>
  <c r="B16" i="101"/>
  <c r="O15" i="101"/>
  <c r="O14" i="101"/>
  <c r="O13" i="101"/>
  <c r="O12" i="101"/>
  <c r="B12" i="101"/>
  <c r="U11" i="101" s="1"/>
  <c r="V11" i="101" s="1"/>
  <c r="O11" i="101"/>
  <c r="B11" i="101"/>
  <c r="O10" i="101"/>
  <c r="B10" i="101"/>
  <c r="O9" i="101"/>
  <c r="B9" i="101"/>
  <c r="O8" i="101"/>
  <c r="O7" i="101"/>
  <c r="O6" i="101"/>
  <c r="O5" i="101"/>
  <c r="O4" i="101"/>
  <c r="B4" i="101"/>
  <c r="O3" i="101"/>
  <c r="B3" i="101"/>
  <c r="O252" i="100"/>
  <c r="O251" i="100"/>
  <c r="O250" i="100"/>
  <c r="O249" i="100"/>
  <c r="O248" i="100"/>
  <c r="O247" i="100"/>
  <c r="O246" i="100"/>
  <c r="O245" i="100"/>
  <c r="O244" i="100"/>
  <c r="O243" i="100"/>
  <c r="O242" i="100"/>
  <c r="O241" i="100"/>
  <c r="O240" i="100"/>
  <c r="O239" i="100"/>
  <c r="O238" i="100"/>
  <c r="O237" i="100"/>
  <c r="O236" i="100"/>
  <c r="O235" i="100"/>
  <c r="O234" i="100"/>
  <c r="O233" i="100"/>
  <c r="O232" i="100"/>
  <c r="O231" i="100"/>
  <c r="O230" i="100"/>
  <c r="O229" i="100"/>
  <c r="O228" i="100"/>
  <c r="O227" i="100"/>
  <c r="O226" i="100"/>
  <c r="O225" i="100"/>
  <c r="O224" i="100"/>
  <c r="O223" i="100"/>
  <c r="O222" i="100"/>
  <c r="O221" i="100"/>
  <c r="O220" i="100"/>
  <c r="O219" i="100"/>
  <c r="O218" i="100"/>
  <c r="O217" i="100"/>
  <c r="O216" i="100"/>
  <c r="O215" i="100"/>
  <c r="O214" i="100"/>
  <c r="O213" i="100"/>
  <c r="O212" i="100"/>
  <c r="O211" i="100"/>
  <c r="O210" i="100"/>
  <c r="O209" i="100"/>
  <c r="O208" i="100"/>
  <c r="O207" i="100"/>
  <c r="O206" i="100"/>
  <c r="O205" i="100"/>
  <c r="O204" i="100"/>
  <c r="O203" i="100"/>
  <c r="O202" i="100"/>
  <c r="O201" i="100"/>
  <c r="O200" i="100"/>
  <c r="O199" i="100"/>
  <c r="O198" i="100"/>
  <c r="O197" i="100"/>
  <c r="O196" i="100"/>
  <c r="O195" i="100"/>
  <c r="O194" i="100"/>
  <c r="O193" i="100"/>
  <c r="O192" i="100"/>
  <c r="O191" i="100"/>
  <c r="O190" i="100"/>
  <c r="O189" i="100"/>
  <c r="O188" i="100"/>
  <c r="O187" i="100"/>
  <c r="O186" i="100"/>
  <c r="O185" i="100"/>
  <c r="O184" i="100"/>
  <c r="O183" i="100"/>
  <c r="O182" i="100"/>
  <c r="O181" i="100"/>
  <c r="O180" i="100"/>
  <c r="O179" i="100"/>
  <c r="O178" i="100"/>
  <c r="O177" i="100"/>
  <c r="O176" i="100"/>
  <c r="O175" i="100"/>
  <c r="O174" i="100"/>
  <c r="O173" i="100"/>
  <c r="O172" i="100"/>
  <c r="O171" i="100"/>
  <c r="O170" i="100"/>
  <c r="O169" i="100"/>
  <c r="O168" i="100"/>
  <c r="O167" i="100"/>
  <c r="O166" i="100"/>
  <c r="O165" i="100"/>
  <c r="O164" i="100"/>
  <c r="O163" i="100"/>
  <c r="O162" i="100"/>
  <c r="O161" i="100"/>
  <c r="O160" i="100"/>
  <c r="O159" i="100"/>
  <c r="O158" i="100"/>
  <c r="O157" i="100"/>
  <c r="O156" i="100"/>
  <c r="O155" i="100"/>
  <c r="O154" i="100"/>
  <c r="O153" i="100"/>
  <c r="O152" i="100"/>
  <c r="O151" i="100"/>
  <c r="O150" i="100"/>
  <c r="O149" i="100"/>
  <c r="O148" i="100"/>
  <c r="O147" i="100"/>
  <c r="O146" i="100"/>
  <c r="O145" i="100"/>
  <c r="O144" i="100"/>
  <c r="O143" i="100"/>
  <c r="O142" i="100"/>
  <c r="O141" i="100"/>
  <c r="O140" i="100"/>
  <c r="O139" i="100"/>
  <c r="O138" i="100"/>
  <c r="O137" i="100"/>
  <c r="O136" i="100"/>
  <c r="O135" i="100"/>
  <c r="O134" i="100"/>
  <c r="O133" i="100"/>
  <c r="O132" i="100"/>
  <c r="O131" i="100"/>
  <c r="O130" i="100"/>
  <c r="O129" i="100"/>
  <c r="O128" i="100"/>
  <c r="O127" i="100"/>
  <c r="O126" i="100"/>
  <c r="O125" i="100"/>
  <c r="O124" i="100"/>
  <c r="O123" i="100"/>
  <c r="G123" i="100"/>
  <c r="O122" i="100"/>
  <c r="G122" i="100"/>
  <c r="O121" i="100"/>
  <c r="O120" i="100"/>
  <c r="G120" i="100"/>
  <c r="O119" i="100"/>
  <c r="G119" i="100"/>
  <c r="O118" i="100"/>
  <c r="G118" i="100"/>
  <c r="O117" i="100"/>
  <c r="O116" i="100"/>
  <c r="O115" i="100"/>
  <c r="O114" i="100"/>
  <c r="O113" i="100"/>
  <c r="O112" i="100"/>
  <c r="O111" i="100"/>
  <c r="O110" i="100"/>
  <c r="O109" i="100"/>
  <c r="O108" i="100"/>
  <c r="O107" i="100"/>
  <c r="O106" i="100"/>
  <c r="O105" i="100"/>
  <c r="O104" i="100"/>
  <c r="O103" i="100"/>
  <c r="O102" i="100"/>
  <c r="O101" i="100"/>
  <c r="O100" i="100"/>
  <c r="O99" i="100"/>
  <c r="O98" i="100"/>
  <c r="O97" i="100"/>
  <c r="O96" i="100"/>
  <c r="O95" i="100"/>
  <c r="O94" i="100"/>
  <c r="O93" i="100"/>
  <c r="O92" i="100"/>
  <c r="O91" i="100"/>
  <c r="O90" i="100"/>
  <c r="O89" i="100"/>
  <c r="O88" i="100"/>
  <c r="O87" i="100"/>
  <c r="O86" i="100"/>
  <c r="O85" i="100"/>
  <c r="O84" i="100"/>
  <c r="O83" i="100"/>
  <c r="O82" i="100"/>
  <c r="O81" i="100"/>
  <c r="O80" i="100"/>
  <c r="O79" i="100"/>
  <c r="O78" i="100"/>
  <c r="O77" i="100"/>
  <c r="O76" i="100"/>
  <c r="O75" i="100"/>
  <c r="O74" i="100"/>
  <c r="O73" i="100"/>
  <c r="O72" i="100"/>
  <c r="O71" i="100"/>
  <c r="O70" i="100"/>
  <c r="O69" i="100"/>
  <c r="O68" i="100"/>
  <c r="O67" i="100"/>
  <c r="O66" i="100"/>
  <c r="O65" i="100"/>
  <c r="O64" i="100"/>
  <c r="O63" i="100"/>
  <c r="O62" i="100"/>
  <c r="O61" i="100"/>
  <c r="O60" i="100"/>
  <c r="O59" i="100"/>
  <c r="O58" i="100"/>
  <c r="O57" i="100"/>
  <c r="O56" i="100"/>
  <c r="O55" i="100"/>
  <c r="O54" i="100"/>
  <c r="O53" i="100"/>
  <c r="O52" i="100"/>
  <c r="O51" i="100"/>
  <c r="O50" i="100"/>
  <c r="O49" i="100"/>
  <c r="O48" i="100"/>
  <c r="O47" i="100"/>
  <c r="O46" i="100"/>
  <c r="O45" i="100"/>
  <c r="O44" i="100"/>
  <c r="O43" i="100"/>
  <c r="O42" i="100"/>
  <c r="O41" i="100"/>
  <c r="O40" i="100"/>
  <c r="O39" i="100"/>
  <c r="O38" i="100"/>
  <c r="O37" i="100"/>
  <c r="O36" i="100"/>
  <c r="O35" i="100"/>
  <c r="O34" i="100"/>
  <c r="O33" i="100"/>
  <c r="O32" i="100"/>
  <c r="O31" i="100"/>
  <c r="O30" i="100"/>
  <c r="O29" i="100"/>
  <c r="O28" i="100"/>
  <c r="O27" i="100"/>
  <c r="E27" i="100"/>
  <c r="O26" i="100"/>
  <c r="E26" i="100"/>
  <c r="O25" i="100"/>
  <c r="F25" i="100"/>
  <c r="O24" i="100"/>
  <c r="O23" i="100"/>
  <c r="O22" i="100"/>
  <c r="O21" i="100"/>
  <c r="O20" i="100"/>
  <c r="O19" i="100"/>
  <c r="O18" i="100"/>
  <c r="O17" i="100"/>
  <c r="B17" i="100"/>
  <c r="F65" i="100" s="1"/>
  <c r="G65" i="100" s="1"/>
  <c r="O16" i="100"/>
  <c r="B16" i="100"/>
  <c r="O15" i="100"/>
  <c r="O14" i="100"/>
  <c r="O13" i="100"/>
  <c r="O12" i="100"/>
  <c r="B12" i="100"/>
  <c r="U11" i="100"/>
  <c r="V11" i="100" s="1"/>
  <c r="O11" i="100"/>
  <c r="B11" i="100"/>
  <c r="B37" i="100" s="1"/>
  <c r="O10" i="100"/>
  <c r="B10" i="100"/>
  <c r="B36" i="100" s="1"/>
  <c r="O9" i="100"/>
  <c r="B9" i="100"/>
  <c r="O8" i="100"/>
  <c r="O7" i="100"/>
  <c r="O6" i="100"/>
  <c r="O5" i="100"/>
  <c r="O4" i="100"/>
  <c r="B4" i="100"/>
  <c r="O3" i="100"/>
  <c r="B3" i="100"/>
  <c r="O252" i="99"/>
  <c r="O251" i="99"/>
  <c r="O250" i="99"/>
  <c r="O249" i="99"/>
  <c r="O248" i="99"/>
  <c r="O247" i="99"/>
  <c r="O246" i="99"/>
  <c r="O245" i="99"/>
  <c r="O244" i="99"/>
  <c r="O243" i="99"/>
  <c r="O242" i="99"/>
  <c r="O241" i="99"/>
  <c r="O240" i="99"/>
  <c r="O239" i="99"/>
  <c r="O238" i="99"/>
  <c r="O237" i="99"/>
  <c r="O236" i="99"/>
  <c r="O235" i="99"/>
  <c r="O234" i="99"/>
  <c r="O233" i="99"/>
  <c r="O232" i="99"/>
  <c r="O231" i="99"/>
  <c r="O230" i="99"/>
  <c r="O229" i="99"/>
  <c r="O228" i="99"/>
  <c r="O227" i="99"/>
  <c r="O226" i="99"/>
  <c r="O225" i="99"/>
  <c r="O224" i="99"/>
  <c r="O223" i="99"/>
  <c r="O222" i="99"/>
  <c r="O221" i="99"/>
  <c r="O220" i="99"/>
  <c r="O219" i="99"/>
  <c r="O218" i="99"/>
  <c r="O217" i="99"/>
  <c r="O216" i="99"/>
  <c r="O215" i="99"/>
  <c r="O214" i="99"/>
  <c r="O213" i="99"/>
  <c r="O212" i="99"/>
  <c r="O211" i="99"/>
  <c r="O210" i="99"/>
  <c r="O209" i="99"/>
  <c r="O208" i="99"/>
  <c r="O207" i="99"/>
  <c r="O206" i="99"/>
  <c r="O205" i="99"/>
  <c r="O204" i="99"/>
  <c r="O203" i="99"/>
  <c r="O202" i="99"/>
  <c r="O201" i="99"/>
  <c r="O200" i="99"/>
  <c r="O199" i="99"/>
  <c r="O198" i="99"/>
  <c r="O197" i="99"/>
  <c r="O196" i="99"/>
  <c r="O195" i="99"/>
  <c r="O194" i="99"/>
  <c r="O193" i="99"/>
  <c r="O192" i="99"/>
  <c r="O191" i="99"/>
  <c r="O190" i="99"/>
  <c r="O189" i="99"/>
  <c r="O188" i="99"/>
  <c r="O187" i="99"/>
  <c r="O186" i="99"/>
  <c r="O185" i="99"/>
  <c r="O184" i="99"/>
  <c r="O183" i="99"/>
  <c r="O182" i="99"/>
  <c r="O181" i="99"/>
  <c r="O180" i="99"/>
  <c r="O179" i="99"/>
  <c r="O178" i="99"/>
  <c r="O177" i="99"/>
  <c r="O176" i="99"/>
  <c r="O175" i="99"/>
  <c r="O174" i="99"/>
  <c r="O173" i="99"/>
  <c r="O172" i="99"/>
  <c r="O171" i="99"/>
  <c r="O170" i="99"/>
  <c r="O169" i="99"/>
  <c r="O168" i="99"/>
  <c r="O167" i="99"/>
  <c r="O166" i="99"/>
  <c r="O165" i="99"/>
  <c r="O164" i="99"/>
  <c r="O163" i="99"/>
  <c r="O162" i="99"/>
  <c r="O161" i="99"/>
  <c r="O160" i="99"/>
  <c r="O159" i="99"/>
  <c r="O158" i="99"/>
  <c r="O157" i="99"/>
  <c r="O156" i="99"/>
  <c r="O155" i="99"/>
  <c r="O154" i="99"/>
  <c r="O153" i="99"/>
  <c r="O152" i="99"/>
  <c r="O151" i="99"/>
  <c r="O150" i="99"/>
  <c r="O149" i="99"/>
  <c r="O148" i="99"/>
  <c r="O147" i="99"/>
  <c r="O146" i="99"/>
  <c r="O145" i="99"/>
  <c r="O144" i="99"/>
  <c r="O143" i="99"/>
  <c r="O142" i="99"/>
  <c r="O141" i="99"/>
  <c r="O140" i="99"/>
  <c r="O139" i="99"/>
  <c r="O138" i="99"/>
  <c r="O137" i="99"/>
  <c r="O136" i="99"/>
  <c r="O135" i="99"/>
  <c r="O134" i="99"/>
  <c r="O133" i="99"/>
  <c r="O132" i="99"/>
  <c r="O131" i="99"/>
  <c r="O130" i="99"/>
  <c r="O129" i="99"/>
  <c r="O128" i="99"/>
  <c r="O127" i="99"/>
  <c r="O126" i="99"/>
  <c r="O125" i="99"/>
  <c r="O124" i="99"/>
  <c r="O123" i="99"/>
  <c r="G123" i="99"/>
  <c r="O122" i="99"/>
  <c r="G122" i="99"/>
  <c r="O121" i="99"/>
  <c r="O120" i="99"/>
  <c r="G120" i="99"/>
  <c r="O119" i="99"/>
  <c r="G119" i="99"/>
  <c r="O118" i="99"/>
  <c r="G118" i="99"/>
  <c r="O117" i="99"/>
  <c r="O116" i="99"/>
  <c r="O115" i="99"/>
  <c r="O114" i="99"/>
  <c r="O113" i="99"/>
  <c r="O112" i="99"/>
  <c r="O111" i="99"/>
  <c r="O110" i="99"/>
  <c r="O109" i="99"/>
  <c r="O108" i="99"/>
  <c r="O107" i="99"/>
  <c r="O106" i="99"/>
  <c r="O105" i="99"/>
  <c r="O104" i="99"/>
  <c r="O103" i="99"/>
  <c r="O102" i="99"/>
  <c r="O101" i="99"/>
  <c r="O100" i="99"/>
  <c r="O99" i="99"/>
  <c r="O98" i="99"/>
  <c r="O97" i="99"/>
  <c r="O96" i="99"/>
  <c r="O95" i="99"/>
  <c r="O94" i="99"/>
  <c r="O93" i="99"/>
  <c r="O92" i="99"/>
  <c r="O91" i="99"/>
  <c r="O90" i="99"/>
  <c r="O89" i="99"/>
  <c r="O88" i="99"/>
  <c r="O87" i="99"/>
  <c r="O86" i="99"/>
  <c r="O85" i="99"/>
  <c r="O84" i="99"/>
  <c r="O83" i="99"/>
  <c r="O82" i="99"/>
  <c r="O81" i="99"/>
  <c r="O80" i="99"/>
  <c r="O79" i="99"/>
  <c r="O78" i="99"/>
  <c r="O77" i="99"/>
  <c r="O76" i="99"/>
  <c r="O75" i="99"/>
  <c r="O74" i="99"/>
  <c r="O73" i="99"/>
  <c r="O72" i="99"/>
  <c r="O71" i="99"/>
  <c r="O70" i="99"/>
  <c r="O69" i="99"/>
  <c r="O68" i="99"/>
  <c r="O67" i="99"/>
  <c r="O66" i="99"/>
  <c r="O65" i="99"/>
  <c r="O64" i="99"/>
  <c r="O63" i="99"/>
  <c r="O62" i="99"/>
  <c r="O61" i="99"/>
  <c r="O60" i="99"/>
  <c r="O59" i="99"/>
  <c r="O58" i="99"/>
  <c r="O57" i="99"/>
  <c r="O56" i="99"/>
  <c r="O55" i="99"/>
  <c r="O54" i="99"/>
  <c r="O53" i="99"/>
  <c r="O52" i="99"/>
  <c r="O51" i="99"/>
  <c r="O50" i="99"/>
  <c r="O49" i="99"/>
  <c r="O48" i="99"/>
  <c r="O47" i="99"/>
  <c r="O46" i="99"/>
  <c r="O45" i="99"/>
  <c r="O44" i="99"/>
  <c r="O43" i="99"/>
  <c r="O42" i="99"/>
  <c r="O41" i="99"/>
  <c r="O40" i="99"/>
  <c r="O39" i="99"/>
  <c r="O38" i="99"/>
  <c r="O37" i="99"/>
  <c r="O36" i="99"/>
  <c r="O35" i="99"/>
  <c r="O34" i="99"/>
  <c r="O33" i="99"/>
  <c r="O32" i="99"/>
  <c r="O31" i="99"/>
  <c r="O30" i="99"/>
  <c r="O29" i="99"/>
  <c r="O28" i="99"/>
  <c r="O27" i="99"/>
  <c r="E27" i="99"/>
  <c r="O26" i="99"/>
  <c r="E26" i="99"/>
  <c r="E31" i="99" s="1"/>
  <c r="O25" i="99"/>
  <c r="F25" i="99"/>
  <c r="O24" i="99"/>
  <c r="O23" i="99"/>
  <c r="O22" i="99"/>
  <c r="O21" i="99"/>
  <c r="O20" i="99"/>
  <c r="O19" i="99"/>
  <c r="O18" i="99"/>
  <c r="O17" i="99"/>
  <c r="B17" i="99"/>
  <c r="O16" i="99"/>
  <c r="B16" i="99"/>
  <c r="O15" i="99"/>
  <c r="O14" i="99"/>
  <c r="O13" i="99"/>
  <c r="O12" i="99"/>
  <c r="B12" i="99"/>
  <c r="U11" i="99" s="1"/>
  <c r="V11" i="99" s="1"/>
  <c r="O11" i="99"/>
  <c r="B11" i="99"/>
  <c r="B37" i="99" s="1"/>
  <c r="O10" i="99"/>
  <c r="B10" i="99"/>
  <c r="O9" i="99"/>
  <c r="B9" i="99"/>
  <c r="O8" i="99"/>
  <c r="O7" i="99"/>
  <c r="O6" i="99"/>
  <c r="O5" i="99"/>
  <c r="O4" i="99"/>
  <c r="B4" i="99"/>
  <c r="O3" i="99"/>
  <c r="B3" i="99"/>
  <c r="O252" i="98"/>
  <c r="O251" i="98"/>
  <c r="O250" i="98"/>
  <c r="O249" i="98"/>
  <c r="O248" i="98"/>
  <c r="O247" i="98"/>
  <c r="O246" i="98"/>
  <c r="O245" i="98"/>
  <c r="O244" i="98"/>
  <c r="O243" i="98"/>
  <c r="O242" i="98"/>
  <c r="O241" i="98"/>
  <c r="O240" i="98"/>
  <c r="O239" i="98"/>
  <c r="O238" i="98"/>
  <c r="O237" i="98"/>
  <c r="O236" i="98"/>
  <c r="O235" i="98"/>
  <c r="O234" i="98"/>
  <c r="O233" i="98"/>
  <c r="O232" i="98"/>
  <c r="O231" i="98"/>
  <c r="O230" i="98"/>
  <c r="O229" i="98"/>
  <c r="O228" i="98"/>
  <c r="O227" i="98"/>
  <c r="O226" i="98"/>
  <c r="O225" i="98"/>
  <c r="O224" i="98"/>
  <c r="O223" i="98"/>
  <c r="O222" i="98"/>
  <c r="O221" i="98"/>
  <c r="O220" i="98"/>
  <c r="O219" i="98"/>
  <c r="O218" i="98"/>
  <c r="O217" i="98"/>
  <c r="O216" i="98"/>
  <c r="O215" i="98"/>
  <c r="O214" i="98"/>
  <c r="O213" i="98"/>
  <c r="O212" i="98"/>
  <c r="O211" i="98"/>
  <c r="O210" i="98"/>
  <c r="O209" i="98"/>
  <c r="O208" i="98"/>
  <c r="O207" i="98"/>
  <c r="O206" i="98"/>
  <c r="O205" i="98"/>
  <c r="O204" i="98"/>
  <c r="O203" i="98"/>
  <c r="O202" i="98"/>
  <c r="O201" i="98"/>
  <c r="O200" i="98"/>
  <c r="O199" i="98"/>
  <c r="O198" i="98"/>
  <c r="O197" i="98"/>
  <c r="O196" i="98"/>
  <c r="O195" i="98"/>
  <c r="O194" i="98"/>
  <c r="O193" i="98"/>
  <c r="O192" i="98"/>
  <c r="O191" i="98"/>
  <c r="O190" i="98"/>
  <c r="O189" i="98"/>
  <c r="O188" i="98"/>
  <c r="O187" i="98"/>
  <c r="O186" i="98"/>
  <c r="O185" i="98"/>
  <c r="O184" i="98"/>
  <c r="O183" i="98"/>
  <c r="O182" i="98"/>
  <c r="O181" i="98"/>
  <c r="O180" i="98"/>
  <c r="O179" i="98"/>
  <c r="O178" i="98"/>
  <c r="O177" i="98"/>
  <c r="O176" i="98"/>
  <c r="O175" i="98"/>
  <c r="O174" i="98"/>
  <c r="O173" i="98"/>
  <c r="O172" i="98"/>
  <c r="O171" i="98"/>
  <c r="O170" i="98"/>
  <c r="O169" i="98"/>
  <c r="O168" i="98"/>
  <c r="O167" i="98"/>
  <c r="O166" i="98"/>
  <c r="O165" i="98"/>
  <c r="O164" i="98"/>
  <c r="O163" i="98"/>
  <c r="O162" i="98"/>
  <c r="O161" i="98"/>
  <c r="O160" i="98"/>
  <c r="O159" i="98"/>
  <c r="O158" i="98"/>
  <c r="O157" i="98"/>
  <c r="O156" i="98"/>
  <c r="O155" i="98"/>
  <c r="O154" i="98"/>
  <c r="O153" i="98"/>
  <c r="O152" i="98"/>
  <c r="O151" i="98"/>
  <c r="O150" i="98"/>
  <c r="O149" i="98"/>
  <c r="O148" i="98"/>
  <c r="O147" i="98"/>
  <c r="O146" i="98"/>
  <c r="O145" i="98"/>
  <c r="O144" i="98"/>
  <c r="O143" i="98"/>
  <c r="O142" i="98"/>
  <c r="O141" i="98"/>
  <c r="O140" i="98"/>
  <c r="O139" i="98"/>
  <c r="O138" i="98"/>
  <c r="O137" i="98"/>
  <c r="O136" i="98"/>
  <c r="O135" i="98"/>
  <c r="O134" i="98"/>
  <c r="O133" i="98"/>
  <c r="O132" i="98"/>
  <c r="O131" i="98"/>
  <c r="O130" i="98"/>
  <c r="O129" i="98"/>
  <c r="O128" i="98"/>
  <c r="O127" i="98"/>
  <c r="O126" i="98"/>
  <c r="O125" i="98"/>
  <c r="O124" i="98"/>
  <c r="O123" i="98"/>
  <c r="G123" i="98"/>
  <c r="O122" i="98"/>
  <c r="G122" i="98"/>
  <c r="O121" i="98"/>
  <c r="O120" i="98"/>
  <c r="G120" i="98"/>
  <c r="O119" i="98"/>
  <c r="G119" i="98"/>
  <c r="O118" i="98"/>
  <c r="G118" i="98"/>
  <c r="O117" i="98"/>
  <c r="O116" i="98"/>
  <c r="O115" i="98"/>
  <c r="O114" i="98"/>
  <c r="O113" i="98"/>
  <c r="O112" i="98"/>
  <c r="O111" i="98"/>
  <c r="O110" i="98"/>
  <c r="O109" i="98"/>
  <c r="O108" i="98"/>
  <c r="O107" i="98"/>
  <c r="O106" i="98"/>
  <c r="O105" i="98"/>
  <c r="O104" i="98"/>
  <c r="O103" i="98"/>
  <c r="O102" i="98"/>
  <c r="O101" i="98"/>
  <c r="O100" i="98"/>
  <c r="O99" i="98"/>
  <c r="O98" i="98"/>
  <c r="O97" i="98"/>
  <c r="O96" i="98"/>
  <c r="O95" i="98"/>
  <c r="O94" i="98"/>
  <c r="O93" i="98"/>
  <c r="O92" i="98"/>
  <c r="O91" i="98"/>
  <c r="O90" i="98"/>
  <c r="O89" i="98"/>
  <c r="O88" i="98"/>
  <c r="O87" i="98"/>
  <c r="O86" i="98"/>
  <c r="O85" i="98"/>
  <c r="O84" i="98"/>
  <c r="O83" i="98"/>
  <c r="O82" i="98"/>
  <c r="O81" i="98"/>
  <c r="O80" i="98"/>
  <c r="O79" i="98"/>
  <c r="O78" i="98"/>
  <c r="O77" i="98"/>
  <c r="O76" i="98"/>
  <c r="O75" i="98"/>
  <c r="O74" i="98"/>
  <c r="O73" i="98"/>
  <c r="O72" i="98"/>
  <c r="O71" i="98"/>
  <c r="O70" i="98"/>
  <c r="O69" i="98"/>
  <c r="O68" i="98"/>
  <c r="O67" i="98"/>
  <c r="O66" i="98"/>
  <c r="O65" i="98"/>
  <c r="O64" i="98"/>
  <c r="O63" i="98"/>
  <c r="O62" i="98"/>
  <c r="O61" i="98"/>
  <c r="O60" i="98"/>
  <c r="O59" i="98"/>
  <c r="O58" i="98"/>
  <c r="O57" i="98"/>
  <c r="O56" i="98"/>
  <c r="O55" i="98"/>
  <c r="O54" i="98"/>
  <c r="O53" i="98"/>
  <c r="O52" i="98"/>
  <c r="O51" i="98"/>
  <c r="O50" i="98"/>
  <c r="O49" i="98"/>
  <c r="O48" i="98"/>
  <c r="O47" i="98"/>
  <c r="O46" i="98"/>
  <c r="O45" i="98"/>
  <c r="O44" i="98"/>
  <c r="O43" i="98"/>
  <c r="O42" i="98"/>
  <c r="O41" i="98"/>
  <c r="O40" i="98"/>
  <c r="O39" i="98"/>
  <c r="O38" i="98"/>
  <c r="O37" i="98"/>
  <c r="O36" i="98"/>
  <c r="O35" i="98"/>
  <c r="O34" i="98"/>
  <c r="O33" i="98"/>
  <c r="O32" i="98"/>
  <c r="O31" i="98"/>
  <c r="O30" i="98"/>
  <c r="O29" i="98"/>
  <c r="O28" i="98"/>
  <c r="O27" i="98"/>
  <c r="E27" i="98"/>
  <c r="O26" i="98"/>
  <c r="E26" i="98"/>
  <c r="O25" i="98"/>
  <c r="F25" i="98"/>
  <c r="O24" i="98"/>
  <c r="O23" i="98"/>
  <c r="O22" i="98"/>
  <c r="O21" i="98"/>
  <c r="O20" i="98"/>
  <c r="O19" i="98"/>
  <c r="O18" i="98"/>
  <c r="O17" i="98"/>
  <c r="B17" i="98"/>
  <c r="O16" i="98"/>
  <c r="B16" i="98"/>
  <c r="O15" i="98"/>
  <c r="O14" i="98"/>
  <c r="O13" i="98"/>
  <c r="O12" i="98"/>
  <c r="B12" i="98"/>
  <c r="U11" i="98" s="1"/>
  <c r="V11" i="98" s="1"/>
  <c r="O11" i="98"/>
  <c r="B11" i="98"/>
  <c r="O10" i="98"/>
  <c r="B10" i="98"/>
  <c r="B36" i="98" s="1"/>
  <c r="O9" i="98"/>
  <c r="B9" i="98"/>
  <c r="O8" i="98"/>
  <c r="O7" i="98"/>
  <c r="O6" i="98"/>
  <c r="O5" i="98"/>
  <c r="O4" i="98"/>
  <c r="B4" i="98"/>
  <c r="O3" i="98"/>
  <c r="B3" i="98"/>
  <c r="O252" i="97"/>
  <c r="O251" i="97"/>
  <c r="O250" i="97"/>
  <c r="O249" i="97"/>
  <c r="O248" i="97"/>
  <c r="O247" i="97"/>
  <c r="O246" i="97"/>
  <c r="O245" i="97"/>
  <c r="O244" i="97"/>
  <c r="O243" i="97"/>
  <c r="O242" i="97"/>
  <c r="O241" i="97"/>
  <c r="O240" i="97"/>
  <c r="O239" i="97"/>
  <c r="O238" i="97"/>
  <c r="O237" i="97"/>
  <c r="O236" i="97"/>
  <c r="O235" i="97"/>
  <c r="O234" i="97"/>
  <c r="O233" i="97"/>
  <c r="O232" i="97"/>
  <c r="O231" i="97"/>
  <c r="O230" i="97"/>
  <c r="O229" i="97"/>
  <c r="O228" i="97"/>
  <c r="O227" i="97"/>
  <c r="O226" i="97"/>
  <c r="O225" i="97"/>
  <c r="O224" i="97"/>
  <c r="O223" i="97"/>
  <c r="O222" i="97"/>
  <c r="O221" i="97"/>
  <c r="O220" i="97"/>
  <c r="O219" i="97"/>
  <c r="O218" i="97"/>
  <c r="O217" i="97"/>
  <c r="O216" i="97"/>
  <c r="O215" i="97"/>
  <c r="O214" i="97"/>
  <c r="O213" i="97"/>
  <c r="O212" i="97"/>
  <c r="O211" i="97"/>
  <c r="O210" i="97"/>
  <c r="O209" i="97"/>
  <c r="O208" i="97"/>
  <c r="O207" i="97"/>
  <c r="O206" i="97"/>
  <c r="O205" i="97"/>
  <c r="O204" i="97"/>
  <c r="O203" i="97"/>
  <c r="O202" i="97"/>
  <c r="O201" i="97"/>
  <c r="O200" i="97"/>
  <c r="O199" i="97"/>
  <c r="O198" i="97"/>
  <c r="O197" i="97"/>
  <c r="O196" i="97"/>
  <c r="O195" i="97"/>
  <c r="O194" i="97"/>
  <c r="O193" i="97"/>
  <c r="O192" i="97"/>
  <c r="O191" i="97"/>
  <c r="O190" i="97"/>
  <c r="O189" i="97"/>
  <c r="O188" i="97"/>
  <c r="O187" i="97"/>
  <c r="O186" i="97"/>
  <c r="O185" i="97"/>
  <c r="O184" i="97"/>
  <c r="O183" i="97"/>
  <c r="O182" i="97"/>
  <c r="O181" i="97"/>
  <c r="O180" i="97"/>
  <c r="O179" i="97"/>
  <c r="O178" i="97"/>
  <c r="O177" i="97"/>
  <c r="O176" i="97"/>
  <c r="O175" i="97"/>
  <c r="O174" i="97"/>
  <c r="O173" i="97"/>
  <c r="O172" i="97"/>
  <c r="O171" i="97"/>
  <c r="O170" i="97"/>
  <c r="O169" i="97"/>
  <c r="O168" i="97"/>
  <c r="O167" i="97"/>
  <c r="O166" i="97"/>
  <c r="O165" i="97"/>
  <c r="O164" i="97"/>
  <c r="O163" i="97"/>
  <c r="O162" i="97"/>
  <c r="O161" i="97"/>
  <c r="O160" i="97"/>
  <c r="O159" i="97"/>
  <c r="O158" i="97"/>
  <c r="O157" i="97"/>
  <c r="O156" i="97"/>
  <c r="O155" i="97"/>
  <c r="O154" i="97"/>
  <c r="O153" i="97"/>
  <c r="O152" i="97"/>
  <c r="O151" i="97"/>
  <c r="O150" i="97"/>
  <c r="O149" i="97"/>
  <c r="O148" i="97"/>
  <c r="O147" i="97"/>
  <c r="O146" i="97"/>
  <c r="O145" i="97"/>
  <c r="O144" i="97"/>
  <c r="O143" i="97"/>
  <c r="O142" i="97"/>
  <c r="O141" i="97"/>
  <c r="O140" i="97"/>
  <c r="O139" i="97"/>
  <c r="O138" i="97"/>
  <c r="O137" i="97"/>
  <c r="O136" i="97"/>
  <c r="O135" i="97"/>
  <c r="O134" i="97"/>
  <c r="O133" i="97"/>
  <c r="O132" i="97"/>
  <c r="O131" i="97"/>
  <c r="O130" i="97"/>
  <c r="O129" i="97"/>
  <c r="O128" i="97"/>
  <c r="O127" i="97"/>
  <c r="O126" i="97"/>
  <c r="O125" i="97"/>
  <c r="O124" i="97"/>
  <c r="O123" i="97"/>
  <c r="G123" i="97"/>
  <c r="O122" i="97"/>
  <c r="G122" i="97"/>
  <c r="O121" i="97"/>
  <c r="O120" i="97"/>
  <c r="G120" i="97"/>
  <c r="O119" i="97"/>
  <c r="G119" i="97"/>
  <c r="O118" i="97"/>
  <c r="G118" i="97"/>
  <c r="O117" i="97"/>
  <c r="O116" i="97"/>
  <c r="O115" i="97"/>
  <c r="O114" i="97"/>
  <c r="O113" i="97"/>
  <c r="O112" i="97"/>
  <c r="O111" i="97"/>
  <c r="O110" i="97"/>
  <c r="O109" i="97"/>
  <c r="O108" i="97"/>
  <c r="O107" i="97"/>
  <c r="O106" i="97"/>
  <c r="O105" i="97"/>
  <c r="O104" i="97"/>
  <c r="O103" i="97"/>
  <c r="O102" i="97"/>
  <c r="O101" i="97"/>
  <c r="O100" i="97"/>
  <c r="O99" i="97"/>
  <c r="O98" i="97"/>
  <c r="O97" i="97"/>
  <c r="O96" i="97"/>
  <c r="O95" i="97"/>
  <c r="O94" i="97"/>
  <c r="O93" i="97"/>
  <c r="O92" i="97"/>
  <c r="O91" i="97"/>
  <c r="O90" i="97"/>
  <c r="O89" i="97"/>
  <c r="O88" i="97"/>
  <c r="O87" i="97"/>
  <c r="O86" i="97"/>
  <c r="O85" i="97"/>
  <c r="O84" i="97"/>
  <c r="O83" i="97"/>
  <c r="O82" i="97"/>
  <c r="O81" i="97"/>
  <c r="O80" i="97"/>
  <c r="O79" i="97"/>
  <c r="O78" i="97"/>
  <c r="O77" i="97"/>
  <c r="O76" i="97"/>
  <c r="O75" i="97"/>
  <c r="O74" i="97"/>
  <c r="O73" i="97"/>
  <c r="O72" i="97"/>
  <c r="O71" i="97"/>
  <c r="O70" i="97"/>
  <c r="O69" i="97"/>
  <c r="O68" i="97"/>
  <c r="O67" i="97"/>
  <c r="O66" i="97"/>
  <c r="O65" i="97"/>
  <c r="O64" i="97"/>
  <c r="O63" i="97"/>
  <c r="O62" i="97"/>
  <c r="O61" i="97"/>
  <c r="O60" i="97"/>
  <c r="O59" i="97"/>
  <c r="O58" i="97"/>
  <c r="O57" i="97"/>
  <c r="O56" i="97"/>
  <c r="O55" i="97"/>
  <c r="O54" i="97"/>
  <c r="O53" i="97"/>
  <c r="O52" i="97"/>
  <c r="O51" i="97"/>
  <c r="O50" i="97"/>
  <c r="O49" i="97"/>
  <c r="O48" i="97"/>
  <c r="O47" i="97"/>
  <c r="O46" i="97"/>
  <c r="O45" i="97"/>
  <c r="O44" i="97"/>
  <c r="O43" i="97"/>
  <c r="O42" i="97"/>
  <c r="O41" i="97"/>
  <c r="O40" i="97"/>
  <c r="O39" i="97"/>
  <c r="O38" i="97"/>
  <c r="O37" i="97"/>
  <c r="O36" i="97"/>
  <c r="O35" i="97"/>
  <c r="O34" i="97"/>
  <c r="O33" i="97"/>
  <c r="O32" i="97"/>
  <c r="O31" i="97"/>
  <c r="O30" i="97"/>
  <c r="O29" i="97"/>
  <c r="O28" i="97"/>
  <c r="O27" i="97"/>
  <c r="E27" i="97"/>
  <c r="O26" i="97"/>
  <c r="E26" i="97"/>
  <c r="O25" i="97"/>
  <c r="F25" i="97"/>
  <c r="O24" i="97"/>
  <c r="O23" i="97"/>
  <c r="O22" i="97"/>
  <c r="O21" i="97"/>
  <c r="O20" i="97"/>
  <c r="O19" i="97"/>
  <c r="O18" i="97"/>
  <c r="O17" i="97"/>
  <c r="B17" i="97"/>
  <c r="O16" i="97"/>
  <c r="B16" i="97"/>
  <c r="O15" i="97"/>
  <c r="O14" i="97"/>
  <c r="O13" i="97"/>
  <c r="O12" i="97"/>
  <c r="B12" i="97"/>
  <c r="U11" i="97" s="1"/>
  <c r="V11" i="97" s="1"/>
  <c r="O11" i="97"/>
  <c r="B11" i="97"/>
  <c r="O10" i="97"/>
  <c r="B10" i="97"/>
  <c r="O9" i="97"/>
  <c r="B9" i="97"/>
  <c r="O8" i="97"/>
  <c r="O7" i="97"/>
  <c r="O6" i="97"/>
  <c r="O5" i="97"/>
  <c r="O4" i="97"/>
  <c r="B4" i="97"/>
  <c r="O3" i="97"/>
  <c r="B3" i="97"/>
  <c r="O252" i="96"/>
  <c r="O251" i="96"/>
  <c r="O250" i="96"/>
  <c r="O249" i="96"/>
  <c r="O248" i="96"/>
  <c r="O247" i="96"/>
  <c r="O246" i="96"/>
  <c r="O245" i="96"/>
  <c r="O244" i="96"/>
  <c r="O243" i="96"/>
  <c r="O242" i="96"/>
  <c r="O241" i="96"/>
  <c r="O240" i="96"/>
  <c r="O239" i="96"/>
  <c r="O238" i="96"/>
  <c r="O237" i="96"/>
  <c r="O236" i="96"/>
  <c r="O235" i="96"/>
  <c r="O234" i="96"/>
  <c r="O233" i="96"/>
  <c r="O232" i="96"/>
  <c r="O231" i="96"/>
  <c r="O230" i="96"/>
  <c r="O229" i="96"/>
  <c r="O228" i="96"/>
  <c r="O227" i="96"/>
  <c r="O226" i="96"/>
  <c r="O225" i="96"/>
  <c r="O224" i="96"/>
  <c r="O223" i="96"/>
  <c r="O222" i="96"/>
  <c r="O221" i="96"/>
  <c r="O220" i="96"/>
  <c r="O219" i="96"/>
  <c r="O218" i="96"/>
  <c r="O217" i="96"/>
  <c r="O216" i="96"/>
  <c r="O215" i="96"/>
  <c r="O214" i="96"/>
  <c r="O213" i="96"/>
  <c r="O212" i="96"/>
  <c r="O211" i="96"/>
  <c r="O210" i="96"/>
  <c r="O209" i="96"/>
  <c r="O208" i="96"/>
  <c r="O207" i="96"/>
  <c r="O206" i="96"/>
  <c r="O205" i="96"/>
  <c r="O204" i="96"/>
  <c r="O203" i="96"/>
  <c r="O202" i="96"/>
  <c r="O201" i="96"/>
  <c r="O200" i="96"/>
  <c r="O199" i="96"/>
  <c r="O198" i="96"/>
  <c r="O197" i="96"/>
  <c r="O196" i="96"/>
  <c r="O195" i="96"/>
  <c r="O194" i="96"/>
  <c r="O193" i="96"/>
  <c r="O192" i="96"/>
  <c r="O191" i="96"/>
  <c r="O190" i="96"/>
  <c r="O189" i="96"/>
  <c r="O188" i="96"/>
  <c r="O187" i="96"/>
  <c r="O186" i="96"/>
  <c r="O185" i="96"/>
  <c r="O184" i="96"/>
  <c r="O183" i="96"/>
  <c r="O182" i="96"/>
  <c r="O181" i="96"/>
  <c r="O180" i="96"/>
  <c r="O179" i="96"/>
  <c r="O178" i="96"/>
  <c r="O177" i="96"/>
  <c r="O176" i="96"/>
  <c r="O175" i="96"/>
  <c r="O174" i="96"/>
  <c r="O173" i="96"/>
  <c r="O172" i="96"/>
  <c r="O171" i="96"/>
  <c r="O170" i="96"/>
  <c r="O169" i="96"/>
  <c r="O168" i="96"/>
  <c r="O167" i="96"/>
  <c r="O166" i="96"/>
  <c r="O165" i="96"/>
  <c r="O164" i="96"/>
  <c r="O163" i="96"/>
  <c r="O162" i="96"/>
  <c r="O161" i="96"/>
  <c r="O160" i="96"/>
  <c r="O159" i="96"/>
  <c r="O158" i="96"/>
  <c r="O157" i="96"/>
  <c r="O156" i="96"/>
  <c r="O155" i="96"/>
  <c r="O154" i="96"/>
  <c r="O153" i="96"/>
  <c r="O152" i="96"/>
  <c r="O151" i="96"/>
  <c r="O150" i="96"/>
  <c r="O149" i="96"/>
  <c r="O148" i="96"/>
  <c r="O147" i="96"/>
  <c r="O146" i="96"/>
  <c r="O145" i="96"/>
  <c r="O144" i="96"/>
  <c r="O143" i="96"/>
  <c r="O142" i="96"/>
  <c r="O141" i="96"/>
  <c r="O140" i="96"/>
  <c r="O139" i="96"/>
  <c r="O138" i="96"/>
  <c r="O137" i="96"/>
  <c r="O136" i="96"/>
  <c r="O135" i="96"/>
  <c r="O134" i="96"/>
  <c r="O133" i="96"/>
  <c r="O132" i="96"/>
  <c r="O131" i="96"/>
  <c r="O130" i="96"/>
  <c r="O129" i="96"/>
  <c r="O128" i="96"/>
  <c r="O127" i="96"/>
  <c r="O126" i="96"/>
  <c r="O125" i="96"/>
  <c r="O124" i="96"/>
  <c r="O123" i="96"/>
  <c r="G123" i="96"/>
  <c r="O122" i="96"/>
  <c r="G122" i="96"/>
  <c r="O121" i="96"/>
  <c r="O120" i="96"/>
  <c r="G120" i="96"/>
  <c r="O119" i="96"/>
  <c r="G119" i="96"/>
  <c r="O118" i="96"/>
  <c r="G118" i="96"/>
  <c r="O117" i="96"/>
  <c r="O116" i="96"/>
  <c r="O115" i="96"/>
  <c r="O114" i="96"/>
  <c r="O113" i="96"/>
  <c r="O112" i="96"/>
  <c r="O111" i="96"/>
  <c r="O110" i="96"/>
  <c r="O109" i="96"/>
  <c r="O108" i="96"/>
  <c r="O107" i="96"/>
  <c r="O106" i="96"/>
  <c r="O105" i="96"/>
  <c r="O104" i="96"/>
  <c r="O103" i="96"/>
  <c r="O102" i="96"/>
  <c r="O101" i="96"/>
  <c r="O100" i="96"/>
  <c r="O99" i="96"/>
  <c r="O98" i="96"/>
  <c r="O97" i="96"/>
  <c r="O96" i="96"/>
  <c r="O95" i="96"/>
  <c r="O94" i="96"/>
  <c r="O93" i="96"/>
  <c r="O92" i="96"/>
  <c r="O91" i="96"/>
  <c r="O90" i="96"/>
  <c r="O89" i="96"/>
  <c r="O88" i="96"/>
  <c r="O87" i="96"/>
  <c r="O86" i="96"/>
  <c r="O85" i="96"/>
  <c r="O84" i="96"/>
  <c r="O83" i="96"/>
  <c r="O82" i="96"/>
  <c r="O81" i="96"/>
  <c r="O80" i="96"/>
  <c r="O79" i="96"/>
  <c r="O78" i="96"/>
  <c r="O77" i="96"/>
  <c r="O76" i="96"/>
  <c r="O75" i="96"/>
  <c r="O74" i="96"/>
  <c r="O73" i="96"/>
  <c r="O72" i="96"/>
  <c r="O71" i="96"/>
  <c r="O70" i="96"/>
  <c r="O69" i="96"/>
  <c r="O68" i="96"/>
  <c r="O67" i="96"/>
  <c r="O66" i="96"/>
  <c r="O65" i="96"/>
  <c r="O64" i="96"/>
  <c r="O63" i="96"/>
  <c r="O62" i="96"/>
  <c r="O61" i="96"/>
  <c r="O60" i="96"/>
  <c r="O59" i="96"/>
  <c r="O58" i="96"/>
  <c r="O57" i="96"/>
  <c r="O56" i="96"/>
  <c r="O55" i="96"/>
  <c r="O54" i="96"/>
  <c r="O53" i="96"/>
  <c r="O52" i="96"/>
  <c r="O51" i="96"/>
  <c r="O50" i="96"/>
  <c r="O49" i="96"/>
  <c r="O48" i="96"/>
  <c r="O47" i="96"/>
  <c r="O46" i="96"/>
  <c r="O45" i="96"/>
  <c r="O44" i="96"/>
  <c r="O43" i="96"/>
  <c r="O42" i="96"/>
  <c r="O41" i="96"/>
  <c r="O40" i="96"/>
  <c r="O39" i="96"/>
  <c r="O38" i="96"/>
  <c r="O37" i="96"/>
  <c r="O36" i="96"/>
  <c r="O35" i="96"/>
  <c r="O34" i="96"/>
  <c r="O33" i="96"/>
  <c r="O32" i="96"/>
  <c r="O31" i="96"/>
  <c r="O30" i="96"/>
  <c r="O29" i="96"/>
  <c r="O28" i="96"/>
  <c r="O27" i="96"/>
  <c r="E27" i="96"/>
  <c r="O26" i="96"/>
  <c r="E26" i="96"/>
  <c r="O25" i="96"/>
  <c r="F25" i="96"/>
  <c r="O24" i="96"/>
  <c r="O23" i="96"/>
  <c r="O22" i="96"/>
  <c r="O21" i="96"/>
  <c r="O20" i="96"/>
  <c r="O19" i="96"/>
  <c r="O18" i="96"/>
  <c r="O17" i="96"/>
  <c r="B17" i="96"/>
  <c r="O16" i="96"/>
  <c r="B16" i="96"/>
  <c r="O15" i="96"/>
  <c r="O14" i="96"/>
  <c r="O13" i="96"/>
  <c r="O12" i="96"/>
  <c r="B12" i="96"/>
  <c r="U11" i="96" s="1"/>
  <c r="V11" i="96" s="1"/>
  <c r="O11" i="96"/>
  <c r="B11" i="96"/>
  <c r="B37" i="96" s="1"/>
  <c r="O10" i="96"/>
  <c r="B10" i="96"/>
  <c r="B36" i="96" s="1"/>
  <c r="O9" i="96"/>
  <c r="B9" i="96"/>
  <c r="O8" i="96"/>
  <c r="O7" i="96"/>
  <c r="O6" i="96"/>
  <c r="O5" i="96"/>
  <c r="O4" i="96"/>
  <c r="B4" i="96"/>
  <c r="O3" i="96"/>
  <c r="B3" i="96"/>
  <c r="O252" i="95"/>
  <c r="O251" i="95"/>
  <c r="O250" i="95"/>
  <c r="O249" i="95"/>
  <c r="O248" i="95"/>
  <c r="O247" i="95"/>
  <c r="O246" i="95"/>
  <c r="O245" i="95"/>
  <c r="O244" i="95"/>
  <c r="O243" i="95"/>
  <c r="O242" i="95"/>
  <c r="O241" i="95"/>
  <c r="O240" i="95"/>
  <c r="O239" i="95"/>
  <c r="O238" i="95"/>
  <c r="O237" i="95"/>
  <c r="O236" i="95"/>
  <c r="O235" i="95"/>
  <c r="O234" i="95"/>
  <c r="O233" i="95"/>
  <c r="O232" i="95"/>
  <c r="O231" i="95"/>
  <c r="O230" i="95"/>
  <c r="O229" i="95"/>
  <c r="O228" i="95"/>
  <c r="O227" i="95"/>
  <c r="O226" i="95"/>
  <c r="O225" i="95"/>
  <c r="O224" i="95"/>
  <c r="O223" i="95"/>
  <c r="O222" i="95"/>
  <c r="O221" i="95"/>
  <c r="O220" i="95"/>
  <c r="O219" i="95"/>
  <c r="O218" i="95"/>
  <c r="O217" i="95"/>
  <c r="O216" i="95"/>
  <c r="O215" i="95"/>
  <c r="O214" i="95"/>
  <c r="O213" i="95"/>
  <c r="O212" i="95"/>
  <c r="O211" i="95"/>
  <c r="O210" i="95"/>
  <c r="O209" i="95"/>
  <c r="O208" i="95"/>
  <c r="O207" i="95"/>
  <c r="O206" i="95"/>
  <c r="O205" i="95"/>
  <c r="O204" i="95"/>
  <c r="O203" i="95"/>
  <c r="O202" i="95"/>
  <c r="O201" i="95"/>
  <c r="O200" i="95"/>
  <c r="O199" i="95"/>
  <c r="O198" i="95"/>
  <c r="O197" i="95"/>
  <c r="O196" i="95"/>
  <c r="O195" i="95"/>
  <c r="O194" i="95"/>
  <c r="O193" i="95"/>
  <c r="O192" i="95"/>
  <c r="O191" i="95"/>
  <c r="O190" i="95"/>
  <c r="O189" i="95"/>
  <c r="O188" i="95"/>
  <c r="O187" i="95"/>
  <c r="O186" i="95"/>
  <c r="O185" i="95"/>
  <c r="O184" i="95"/>
  <c r="O183" i="95"/>
  <c r="O182" i="95"/>
  <c r="O181" i="95"/>
  <c r="O180" i="95"/>
  <c r="O179" i="95"/>
  <c r="O178" i="95"/>
  <c r="O177" i="95"/>
  <c r="O176" i="95"/>
  <c r="O175" i="95"/>
  <c r="O174" i="95"/>
  <c r="O173" i="95"/>
  <c r="O172" i="95"/>
  <c r="O171" i="95"/>
  <c r="O170" i="95"/>
  <c r="O169" i="95"/>
  <c r="O168" i="95"/>
  <c r="O167" i="95"/>
  <c r="O166" i="95"/>
  <c r="O165" i="95"/>
  <c r="O164" i="95"/>
  <c r="O163" i="95"/>
  <c r="O162" i="95"/>
  <c r="O161" i="95"/>
  <c r="O160" i="95"/>
  <c r="O159" i="95"/>
  <c r="O158" i="95"/>
  <c r="O157" i="95"/>
  <c r="O156" i="95"/>
  <c r="O155" i="95"/>
  <c r="O154" i="95"/>
  <c r="O153" i="95"/>
  <c r="O152" i="95"/>
  <c r="O151" i="95"/>
  <c r="O150" i="95"/>
  <c r="O149" i="95"/>
  <c r="O148" i="95"/>
  <c r="O147" i="95"/>
  <c r="O146" i="95"/>
  <c r="O145" i="95"/>
  <c r="O144" i="95"/>
  <c r="O143" i="95"/>
  <c r="O142" i="95"/>
  <c r="O141" i="95"/>
  <c r="O140" i="95"/>
  <c r="O139" i="95"/>
  <c r="O138" i="95"/>
  <c r="O137" i="95"/>
  <c r="O136" i="95"/>
  <c r="O135" i="95"/>
  <c r="O134" i="95"/>
  <c r="O133" i="95"/>
  <c r="O132" i="95"/>
  <c r="O131" i="95"/>
  <c r="O130" i="95"/>
  <c r="O129" i="95"/>
  <c r="O128" i="95"/>
  <c r="O127" i="95"/>
  <c r="O126" i="95"/>
  <c r="O125" i="95"/>
  <c r="O124" i="95"/>
  <c r="O123" i="95"/>
  <c r="G123" i="95"/>
  <c r="O122" i="95"/>
  <c r="G122" i="95"/>
  <c r="O121" i="95"/>
  <c r="O120" i="95"/>
  <c r="G120" i="95"/>
  <c r="O119" i="95"/>
  <c r="G119" i="95"/>
  <c r="O118" i="95"/>
  <c r="G118" i="95"/>
  <c r="O117" i="95"/>
  <c r="O116" i="95"/>
  <c r="O115" i="95"/>
  <c r="O114" i="95"/>
  <c r="O113" i="95"/>
  <c r="O112" i="95"/>
  <c r="O111" i="95"/>
  <c r="O110" i="95"/>
  <c r="O109" i="95"/>
  <c r="O108" i="95"/>
  <c r="O107" i="95"/>
  <c r="O106" i="95"/>
  <c r="O105" i="95"/>
  <c r="O104" i="95"/>
  <c r="O103" i="95"/>
  <c r="O102" i="95"/>
  <c r="O101" i="95"/>
  <c r="O100" i="95"/>
  <c r="O99" i="95"/>
  <c r="O98" i="95"/>
  <c r="O97" i="95"/>
  <c r="O96" i="95"/>
  <c r="O95" i="95"/>
  <c r="O94" i="95"/>
  <c r="O93" i="95"/>
  <c r="O92" i="95"/>
  <c r="O91" i="95"/>
  <c r="O90" i="95"/>
  <c r="O89" i="95"/>
  <c r="O88" i="95"/>
  <c r="O87" i="95"/>
  <c r="O86" i="95"/>
  <c r="O85" i="95"/>
  <c r="O84" i="95"/>
  <c r="O83" i="95"/>
  <c r="O82" i="95"/>
  <c r="O81" i="95"/>
  <c r="O80" i="95"/>
  <c r="O79" i="95"/>
  <c r="O78" i="95"/>
  <c r="O77" i="95"/>
  <c r="O76" i="95"/>
  <c r="O75" i="95"/>
  <c r="O74" i="95"/>
  <c r="O73" i="95"/>
  <c r="O72" i="95"/>
  <c r="O71" i="95"/>
  <c r="O70" i="95"/>
  <c r="O69" i="95"/>
  <c r="O68" i="95"/>
  <c r="O67" i="95"/>
  <c r="O66" i="95"/>
  <c r="O65" i="95"/>
  <c r="O64" i="95"/>
  <c r="O63" i="95"/>
  <c r="O62" i="95"/>
  <c r="O61" i="95"/>
  <c r="O60" i="95"/>
  <c r="O59" i="95"/>
  <c r="O58" i="95"/>
  <c r="O57" i="95"/>
  <c r="O56" i="95"/>
  <c r="O55" i="95"/>
  <c r="O54" i="95"/>
  <c r="O53" i="95"/>
  <c r="O52" i="95"/>
  <c r="O51" i="95"/>
  <c r="O50" i="95"/>
  <c r="O49" i="95"/>
  <c r="O48" i="95"/>
  <c r="O47" i="95"/>
  <c r="O46" i="95"/>
  <c r="O45" i="95"/>
  <c r="O44" i="95"/>
  <c r="O43" i="95"/>
  <c r="O42" i="95"/>
  <c r="O41" i="95"/>
  <c r="O40" i="95"/>
  <c r="O39" i="95"/>
  <c r="O38" i="95"/>
  <c r="O37" i="95"/>
  <c r="O36" i="95"/>
  <c r="O35" i="95"/>
  <c r="O34" i="95"/>
  <c r="O33" i="95"/>
  <c r="O32" i="95"/>
  <c r="O31" i="95"/>
  <c r="O30" i="95"/>
  <c r="O29" i="95"/>
  <c r="O28" i="95"/>
  <c r="O27" i="95"/>
  <c r="E27" i="95"/>
  <c r="O26" i="95"/>
  <c r="E26" i="95"/>
  <c r="O25" i="95"/>
  <c r="F25" i="95"/>
  <c r="O24" i="95"/>
  <c r="O23" i="95"/>
  <c r="O22" i="95"/>
  <c r="O21" i="95"/>
  <c r="O20" i="95"/>
  <c r="O19" i="95"/>
  <c r="O18" i="95"/>
  <c r="O17" i="95"/>
  <c r="B17" i="95"/>
  <c r="O16" i="95"/>
  <c r="B16" i="95"/>
  <c r="O15" i="95"/>
  <c r="O14" i="95"/>
  <c r="O13" i="95"/>
  <c r="O12" i="95"/>
  <c r="B12" i="95"/>
  <c r="U11" i="95" s="1"/>
  <c r="V11" i="95" s="1"/>
  <c r="O11" i="95"/>
  <c r="B11" i="95"/>
  <c r="B37" i="95" s="1"/>
  <c r="O10" i="95"/>
  <c r="B10" i="95"/>
  <c r="O9" i="95"/>
  <c r="B9" i="95"/>
  <c r="O8" i="95"/>
  <c r="O7" i="95"/>
  <c r="O6" i="95"/>
  <c r="O5" i="95"/>
  <c r="O4" i="95"/>
  <c r="B4" i="95"/>
  <c r="O3" i="95"/>
  <c r="B3" i="95"/>
  <c r="O252" i="93"/>
  <c r="O251" i="93"/>
  <c r="O250" i="93"/>
  <c r="O249" i="93"/>
  <c r="O248" i="93"/>
  <c r="O247" i="93"/>
  <c r="O246" i="93"/>
  <c r="O245" i="93"/>
  <c r="O244" i="93"/>
  <c r="O243" i="93"/>
  <c r="O242" i="93"/>
  <c r="O241" i="93"/>
  <c r="O240" i="93"/>
  <c r="O239" i="93"/>
  <c r="O238" i="93"/>
  <c r="O237" i="93"/>
  <c r="O236" i="93"/>
  <c r="O235" i="93"/>
  <c r="O234" i="93"/>
  <c r="O233" i="93"/>
  <c r="O232" i="93"/>
  <c r="O231" i="93"/>
  <c r="O230" i="93"/>
  <c r="O229" i="93"/>
  <c r="O228" i="93"/>
  <c r="O227" i="93"/>
  <c r="O226" i="93"/>
  <c r="O225" i="93"/>
  <c r="O224" i="93"/>
  <c r="O223" i="93"/>
  <c r="O222" i="93"/>
  <c r="O221" i="93"/>
  <c r="O220" i="93"/>
  <c r="O219" i="93"/>
  <c r="O218" i="93"/>
  <c r="O217" i="93"/>
  <c r="O216" i="93"/>
  <c r="O215" i="93"/>
  <c r="O214" i="93"/>
  <c r="O213" i="93"/>
  <c r="O212" i="93"/>
  <c r="O211" i="93"/>
  <c r="O210" i="93"/>
  <c r="O209" i="93"/>
  <c r="O208" i="93"/>
  <c r="O207" i="93"/>
  <c r="O206" i="93"/>
  <c r="O205" i="93"/>
  <c r="O204" i="93"/>
  <c r="O203" i="93"/>
  <c r="O202" i="93"/>
  <c r="O201" i="93"/>
  <c r="O200" i="93"/>
  <c r="O199" i="93"/>
  <c r="O198" i="93"/>
  <c r="O197" i="93"/>
  <c r="O196" i="93"/>
  <c r="O195" i="93"/>
  <c r="O194" i="93"/>
  <c r="O193" i="93"/>
  <c r="O192" i="93"/>
  <c r="O191" i="93"/>
  <c r="O190" i="93"/>
  <c r="O189" i="93"/>
  <c r="O188" i="93"/>
  <c r="O187" i="93"/>
  <c r="O186" i="93"/>
  <c r="O185" i="93"/>
  <c r="O184" i="93"/>
  <c r="O183" i="93"/>
  <c r="O182" i="93"/>
  <c r="O181" i="93"/>
  <c r="O180" i="93"/>
  <c r="O179" i="93"/>
  <c r="O178" i="93"/>
  <c r="O177" i="93"/>
  <c r="O176" i="93"/>
  <c r="O175" i="93"/>
  <c r="O174" i="93"/>
  <c r="O173" i="93"/>
  <c r="O172" i="93"/>
  <c r="O171" i="93"/>
  <c r="O170" i="93"/>
  <c r="O169" i="93"/>
  <c r="O168" i="93"/>
  <c r="O167" i="93"/>
  <c r="O166" i="93"/>
  <c r="O165" i="93"/>
  <c r="O164" i="93"/>
  <c r="O163" i="93"/>
  <c r="O162" i="93"/>
  <c r="O161" i="93"/>
  <c r="O160" i="93"/>
  <c r="O159" i="93"/>
  <c r="O158" i="93"/>
  <c r="O157" i="93"/>
  <c r="O156" i="93"/>
  <c r="O155" i="93"/>
  <c r="O154" i="93"/>
  <c r="O153" i="93"/>
  <c r="O152" i="93"/>
  <c r="O151" i="93"/>
  <c r="O150" i="93"/>
  <c r="O149" i="93"/>
  <c r="O148" i="93"/>
  <c r="O147" i="93"/>
  <c r="O146" i="93"/>
  <c r="O145" i="93"/>
  <c r="O144" i="93"/>
  <c r="O143" i="93"/>
  <c r="O142" i="93"/>
  <c r="O141" i="93"/>
  <c r="O140" i="93"/>
  <c r="O139" i="93"/>
  <c r="O138" i="93"/>
  <c r="O137" i="93"/>
  <c r="O136" i="93"/>
  <c r="O135" i="93"/>
  <c r="O134" i="93"/>
  <c r="O133" i="93"/>
  <c r="O132" i="93"/>
  <c r="O131" i="93"/>
  <c r="O130" i="93"/>
  <c r="O129" i="93"/>
  <c r="O128" i="93"/>
  <c r="O127" i="93"/>
  <c r="O126" i="93"/>
  <c r="O125" i="93"/>
  <c r="O124" i="93"/>
  <c r="O123" i="93"/>
  <c r="G123" i="93"/>
  <c r="O122" i="93"/>
  <c r="G122" i="93"/>
  <c r="O121" i="93"/>
  <c r="O120" i="93"/>
  <c r="G120" i="93"/>
  <c r="O119" i="93"/>
  <c r="G119" i="93"/>
  <c r="O118" i="93"/>
  <c r="G118" i="93"/>
  <c r="O117" i="93"/>
  <c r="O116" i="93"/>
  <c r="O115" i="93"/>
  <c r="O114" i="93"/>
  <c r="O113" i="93"/>
  <c r="O112" i="93"/>
  <c r="O111" i="93"/>
  <c r="O110" i="93"/>
  <c r="O109" i="93"/>
  <c r="O108" i="93"/>
  <c r="O107" i="93"/>
  <c r="O106" i="93"/>
  <c r="O105" i="93"/>
  <c r="O104" i="93"/>
  <c r="O103" i="93"/>
  <c r="O102" i="93"/>
  <c r="O101" i="93"/>
  <c r="O100" i="93"/>
  <c r="O99" i="93"/>
  <c r="O98" i="93"/>
  <c r="O97" i="93"/>
  <c r="O96" i="93"/>
  <c r="O95" i="93"/>
  <c r="O94" i="93"/>
  <c r="O93" i="93"/>
  <c r="O92" i="93"/>
  <c r="O91" i="93"/>
  <c r="O90" i="93"/>
  <c r="O89" i="93"/>
  <c r="O88" i="93"/>
  <c r="O87" i="93"/>
  <c r="O86" i="93"/>
  <c r="O85" i="93"/>
  <c r="O84" i="93"/>
  <c r="O83" i="93"/>
  <c r="O82" i="93"/>
  <c r="O81" i="93"/>
  <c r="O80" i="93"/>
  <c r="O79" i="93"/>
  <c r="O78" i="93"/>
  <c r="O77" i="93"/>
  <c r="O76" i="93"/>
  <c r="O75" i="93"/>
  <c r="O74" i="93"/>
  <c r="O73" i="93"/>
  <c r="O72" i="93"/>
  <c r="O71" i="93"/>
  <c r="O70" i="93"/>
  <c r="O69" i="93"/>
  <c r="O68" i="93"/>
  <c r="O67" i="93"/>
  <c r="O66" i="93"/>
  <c r="O65" i="93"/>
  <c r="O64" i="93"/>
  <c r="O63" i="93"/>
  <c r="O62" i="93"/>
  <c r="O61" i="93"/>
  <c r="O60" i="93"/>
  <c r="O59" i="93"/>
  <c r="O58" i="93"/>
  <c r="O57" i="93"/>
  <c r="O56" i="93"/>
  <c r="O55" i="93"/>
  <c r="O54" i="93"/>
  <c r="O53" i="93"/>
  <c r="O52" i="93"/>
  <c r="O51" i="93"/>
  <c r="O50" i="93"/>
  <c r="O49" i="93"/>
  <c r="O48" i="93"/>
  <c r="O47" i="93"/>
  <c r="O46" i="93"/>
  <c r="O45" i="93"/>
  <c r="O44" i="93"/>
  <c r="O43" i="93"/>
  <c r="O42" i="93"/>
  <c r="O41" i="93"/>
  <c r="O40" i="93"/>
  <c r="O39" i="93"/>
  <c r="O38" i="93"/>
  <c r="O37" i="93"/>
  <c r="O36" i="93"/>
  <c r="O35" i="93"/>
  <c r="O34" i="93"/>
  <c r="O33" i="93"/>
  <c r="O32" i="93"/>
  <c r="O31" i="93"/>
  <c r="O30" i="93"/>
  <c r="O29" i="93"/>
  <c r="O28" i="93"/>
  <c r="O27" i="93"/>
  <c r="E27" i="93"/>
  <c r="E31" i="93" s="1"/>
  <c r="O26" i="93"/>
  <c r="E26" i="93"/>
  <c r="O25" i="93"/>
  <c r="F25" i="93"/>
  <c r="O24" i="93"/>
  <c r="O23" i="93"/>
  <c r="O22" i="93"/>
  <c r="O21" i="93"/>
  <c r="O20" i="93"/>
  <c r="O19" i="93"/>
  <c r="O18" i="93"/>
  <c r="O17" i="93"/>
  <c r="B17" i="93"/>
  <c r="O16" i="93"/>
  <c r="B16" i="93"/>
  <c r="C22" i="93" s="1"/>
  <c r="U9" i="93" s="1"/>
  <c r="V9" i="93" s="1"/>
  <c r="O15" i="93"/>
  <c r="O14" i="93"/>
  <c r="O13" i="93"/>
  <c r="O12" i="93"/>
  <c r="B12" i="93"/>
  <c r="U11" i="93" s="1"/>
  <c r="V11" i="93" s="1"/>
  <c r="O11" i="93"/>
  <c r="B11" i="93"/>
  <c r="B37" i="93" s="1"/>
  <c r="O10" i="93"/>
  <c r="B10" i="93"/>
  <c r="B36" i="93" s="1"/>
  <c r="O9" i="93"/>
  <c r="B9" i="93"/>
  <c r="O8" i="93"/>
  <c r="O7" i="93"/>
  <c r="O6" i="93"/>
  <c r="O5" i="93"/>
  <c r="O4" i="93"/>
  <c r="B4" i="93"/>
  <c r="O3" i="93"/>
  <c r="B3" i="93"/>
  <c r="O252" i="92"/>
  <c r="O251" i="92"/>
  <c r="O250" i="92"/>
  <c r="O249" i="92"/>
  <c r="O248" i="92"/>
  <c r="O247" i="92"/>
  <c r="O246" i="92"/>
  <c r="O245" i="92"/>
  <c r="O244" i="92"/>
  <c r="O243" i="92"/>
  <c r="O242" i="92"/>
  <c r="O241" i="92"/>
  <c r="O240" i="92"/>
  <c r="O239" i="92"/>
  <c r="O238" i="92"/>
  <c r="O237" i="92"/>
  <c r="O236" i="92"/>
  <c r="O235" i="92"/>
  <c r="O234" i="92"/>
  <c r="O233" i="92"/>
  <c r="O232" i="92"/>
  <c r="O231" i="92"/>
  <c r="O230" i="92"/>
  <c r="O229" i="92"/>
  <c r="O228" i="92"/>
  <c r="O227" i="92"/>
  <c r="O226" i="92"/>
  <c r="O225" i="92"/>
  <c r="O224" i="92"/>
  <c r="O223" i="92"/>
  <c r="O222" i="92"/>
  <c r="O221" i="92"/>
  <c r="O220" i="92"/>
  <c r="O219" i="92"/>
  <c r="O218" i="92"/>
  <c r="O217" i="92"/>
  <c r="O216" i="92"/>
  <c r="O215" i="92"/>
  <c r="O214" i="92"/>
  <c r="O213" i="92"/>
  <c r="O212" i="92"/>
  <c r="O211" i="92"/>
  <c r="O210" i="92"/>
  <c r="O209" i="92"/>
  <c r="O208" i="92"/>
  <c r="O207" i="92"/>
  <c r="O206" i="92"/>
  <c r="O205" i="92"/>
  <c r="O204" i="92"/>
  <c r="O203" i="92"/>
  <c r="O202" i="92"/>
  <c r="O201" i="92"/>
  <c r="O200" i="92"/>
  <c r="O199" i="92"/>
  <c r="O198" i="92"/>
  <c r="O197" i="92"/>
  <c r="O196" i="92"/>
  <c r="O195" i="92"/>
  <c r="O194" i="92"/>
  <c r="O193" i="92"/>
  <c r="O192" i="92"/>
  <c r="O191" i="92"/>
  <c r="O190" i="92"/>
  <c r="O189" i="92"/>
  <c r="O188" i="92"/>
  <c r="O187" i="92"/>
  <c r="O186" i="92"/>
  <c r="O185" i="92"/>
  <c r="O184" i="92"/>
  <c r="O183" i="92"/>
  <c r="O182" i="92"/>
  <c r="O181" i="92"/>
  <c r="O180" i="92"/>
  <c r="O179" i="92"/>
  <c r="O178" i="92"/>
  <c r="O177" i="92"/>
  <c r="O176" i="92"/>
  <c r="O175" i="92"/>
  <c r="O174" i="92"/>
  <c r="O173" i="92"/>
  <c r="O172" i="92"/>
  <c r="O171" i="92"/>
  <c r="O170" i="92"/>
  <c r="O169" i="92"/>
  <c r="O168" i="92"/>
  <c r="O167" i="92"/>
  <c r="O166" i="92"/>
  <c r="O165" i="92"/>
  <c r="O164" i="92"/>
  <c r="O163" i="92"/>
  <c r="O162" i="92"/>
  <c r="O161" i="92"/>
  <c r="O160" i="92"/>
  <c r="O159" i="92"/>
  <c r="O158" i="92"/>
  <c r="O157" i="92"/>
  <c r="O156" i="92"/>
  <c r="O155" i="92"/>
  <c r="O154" i="92"/>
  <c r="O153" i="92"/>
  <c r="O152" i="92"/>
  <c r="O151" i="92"/>
  <c r="O150" i="92"/>
  <c r="O149" i="92"/>
  <c r="O148" i="92"/>
  <c r="O147" i="92"/>
  <c r="O146" i="92"/>
  <c r="O145" i="92"/>
  <c r="O144" i="92"/>
  <c r="O143" i="92"/>
  <c r="O142" i="92"/>
  <c r="O141" i="92"/>
  <c r="O140" i="92"/>
  <c r="O139" i="92"/>
  <c r="O138" i="92"/>
  <c r="O137" i="92"/>
  <c r="O136" i="92"/>
  <c r="O135" i="92"/>
  <c r="O134" i="92"/>
  <c r="O133" i="92"/>
  <c r="O132" i="92"/>
  <c r="O131" i="92"/>
  <c r="O130" i="92"/>
  <c r="O129" i="92"/>
  <c r="O128" i="92"/>
  <c r="O127" i="92"/>
  <c r="O126" i="92"/>
  <c r="O125" i="92"/>
  <c r="O124" i="92"/>
  <c r="O123" i="92"/>
  <c r="G123" i="92"/>
  <c r="O122" i="92"/>
  <c r="G122" i="92"/>
  <c r="O121" i="92"/>
  <c r="O120" i="92"/>
  <c r="G120" i="92"/>
  <c r="O119" i="92"/>
  <c r="G119" i="92"/>
  <c r="O118" i="92"/>
  <c r="G118" i="92"/>
  <c r="O117" i="92"/>
  <c r="O116" i="92"/>
  <c r="O115" i="92"/>
  <c r="O114" i="92"/>
  <c r="O113" i="92"/>
  <c r="O112" i="92"/>
  <c r="O111" i="92"/>
  <c r="O110" i="92"/>
  <c r="O109" i="92"/>
  <c r="O108" i="92"/>
  <c r="O107" i="92"/>
  <c r="O106" i="92"/>
  <c r="O105" i="92"/>
  <c r="O104" i="92"/>
  <c r="O103" i="92"/>
  <c r="O102" i="92"/>
  <c r="O101" i="92"/>
  <c r="O100" i="92"/>
  <c r="O99" i="92"/>
  <c r="O98" i="92"/>
  <c r="O97" i="92"/>
  <c r="O96" i="92"/>
  <c r="O95" i="92"/>
  <c r="O94" i="92"/>
  <c r="O93" i="92"/>
  <c r="O92" i="92"/>
  <c r="O91" i="92"/>
  <c r="O90" i="92"/>
  <c r="O89" i="92"/>
  <c r="O88" i="92"/>
  <c r="O87" i="92"/>
  <c r="O86" i="92"/>
  <c r="O85" i="92"/>
  <c r="O84" i="92"/>
  <c r="O83" i="92"/>
  <c r="O82" i="92"/>
  <c r="O81" i="92"/>
  <c r="O80" i="92"/>
  <c r="O79" i="92"/>
  <c r="O78" i="92"/>
  <c r="O77" i="92"/>
  <c r="O76" i="92"/>
  <c r="O75" i="92"/>
  <c r="O74" i="92"/>
  <c r="O73" i="92"/>
  <c r="O72" i="92"/>
  <c r="O71" i="92"/>
  <c r="O70" i="92"/>
  <c r="O69" i="92"/>
  <c r="O68" i="92"/>
  <c r="O67" i="92"/>
  <c r="O66" i="92"/>
  <c r="O65" i="92"/>
  <c r="O64" i="92"/>
  <c r="O63" i="92"/>
  <c r="O62" i="92"/>
  <c r="O61" i="92"/>
  <c r="O60" i="92"/>
  <c r="O59" i="92"/>
  <c r="O58" i="92"/>
  <c r="O57" i="92"/>
  <c r="O56" i="92"/>
  <c r="O55" i="92"/>
  <c r="O54" i="92"/>
  <c r="O53" i="92"/>
  <c r="O52" i="92"/>
  <c r="O51" i="92"/>
  <c r="O50" i="92"/>
  <c r="O49" i="92"/>
  <c r="O48" i="92"/>
  <c r="O47" i="92"/>
  <c r="O46" i="92"/>
  <c r="O45" i="92"/>
  <c r="O44" i="92"/>
  <c r="O43" i="92"/>
  <c r="O42" i="92"/>
  <c r="O41" i="92"/>
  <c r="O40" i="92"/>
  <c r="O39" i="92"/>
  <c r="O38" i="92"/>
  <c r="O37" i="92"/>
  <c r="O36" i="92"/>
  <c r="O35" i="92"/>
  <c r="O34" i="92"/>
  <c r="O33" i="92"/>
  <c r="O32" i="92"/>
  <c r="O31" i="92"/>
  <c r="O30" i="92"/>
  <c r="O29" i="92"/>
  <c r="O28" i="92"/>
  <c r="O27" i="92"/>
  <c r="E27" i="92"/>
  <c r="F28" i="92" s="1"/>
  <c r="O26" i="92"/>
  <c r="E26" i="92"/>
  <c r="O25" i="92"/>
  <c r="F25" i="92"/>
  <c r="O24" i="92"/>
  <c r="O23" i="92"/>
  <c r="O22" i="92"/>
  <c r="O21" i="92"/>
  <c r="O20" i="92"/>
  <c r="O19" i="92"/>
  <c r="O18" i="92"/>
  <c r="O17" i="92"/>
  <c r="B17" i="92"/>
  <c r="O16" i="92"/>
  <c r="B16" i="92"/>
  <c r="O15" i="92"/>
  <c r="O14" i="92"/>
  <c r="O13" i="92"/>
  <c r="O12" i="92"/>
  <c r="B12" i="92"/>
  <c r="U11" i="92" s="1"/>
  <c r="V11" i="92" s="1"/>
  <c r="O11" i="92"/>
  <c r="B11" i="92"/>
  <c r="B37" i="92" s="1"/>
  <c r="O10" i="92"/>
  <c r="B10" i="92"/>
  <c r="O9" i="92"/>
  <c r="B9" i="92"/>
  <c r="O8" i="92"/>
  <c r="O7" i="92"/>
  <c r="O6" i="92"/>
  <c r="O5" i="92"/>
  <c r="O4" i="92"/>
  <c r="B4" i="92"/>
  <c r="O3" i="92"/>
  <c r="B3" i="92"/>
  <c r="O252" i="91"/>
  <c r="O251" i="91"/>
  <c r="O250" i="91"/>
  <c r="O249" i="91"/>
  <c r="O248" i="91"/>
  <c r="O247" i="91"/>
  <c r="O246" i="91"/>
  <c r="O245" i="91"/>
  <c r="O244" i="91"/>
  <c r="O243" i="91"/>
  <c r="O242" i="91"/>
  <c r="O241" i="91"/>
  <c r="O240" i="91"/>
  <c r="O239" i="91"/>
  <c r="O238" i="91"/>
  <c r="O237" i="91"/>
  <c r="O236" i="91"/>
  <c r="O235" i="91"/>
  <c r="O234" i="91"/>
  <c r="O233" i="91"/>
  <c r="O232" i="91"/>
  <c r="O231" i="91"/>
  <c r="O230" i="91"/>
  <c r="O229" i="91"/>
  <c r="O228" i="91"/>
  <c r="O227" i="91"/>
  <c r="O226" i="91"/>
  <c r="O225" i="91"/>
  <c r="O224" i="91"/>
  <c r="O223" i="91"/>
  <c r="O222" i="91"/>
  <c r="O221" i="91"/>
  <c r="O220" i="91"/>
  <c r="O219" i="91"/>
  <c r="O218" i="91"/>
  <c r="O217" i="91"/>
  <c r="O216" i="91"/>
  <c r="O215" i="91"/>
  <c r="O214" i="91"/>
  <c r="O213" i="91"/>
  <c r="O212" i="91"/>
  <c r="O211" i="91"/>
  <c r="O210" i="91"/>
  <c r="O209" i="91"/>
  <c r="O208" i="91"/>
  <c r="O207" i="91"/>
  <c r="O206" i="91"/>
  <c r="O205" i="91"/>
  <c r="O204" i="91"/>
  <c r="O203" i="91"/>
  <c r="O202" i="91"/>
  <c r="O201" i="91"/>
  <c r="O200" i="91"/>
  <c r="O199" i="91"/>
  <c r="O198" i="91"/>
  <c r="O197" i="91"/>
  <c r="O196" i="91"/>
  <c r="O195" i="91"/>
  <c r="O194" i="91"/>
  <c r="O193" i="91"/>
  <c r="O192" i="91"/>
  <c r="O191" i="91"/>
  <c r="O190" i="91"/>
  <c r="O189" i="91"/>
  <c r="O188" i="91"/>
  <c r="O187" i="91"/>
  <c r="O186" i="91"/>
  <c r="O185" i="91"/>
  <c r="O184" i="91"/>
  <c r="O183" i="91"/>
  <c r="O182" i="91"/>
  <c r="O181" i="91"/>
  <c r="O180" i="91"/>
  <c r="O179" i="91"/>
  <c r="O178" i="91"/>
  <c r="O177" i="91"/>
  <c r="O176" i="91"/>
  <c r="O175" i="91"/>
  <c r="O174" i="91"/>
  <c r="O173" i="91"/>
  <c r="O172" i="91"/>
  <c r="O171" i="91"/>
  <c r="O170" i="91"/>
  <c r="O169" i="91"/>
  <c r="O168" i="91"/>
  <c r="O167" i="91"/>
  <c r="O166" i="91"/>
  <c r="O165" i="91"/>
  <c r="O164" i="91"/>
  <c r="O163" i="91"/>
  <c r="O162" i="91"/>
  <c r="O161" i="91"/>
  <c r="O160" i="91"/>
  <c r="O159" i="91"/>
  <c r="O158" i="91"/>
  <c r="O157" i="91"/>
  <c r="O156" i="91"/>
  <c r="O155" i="91"/>
  <c r="O154" i="91"/>
  <c r="O153" i="91"/>
  <c r="O152" i="91"/>
  <c r="O151" i="91"/>
  <c r="O150" i="91"/>
  <c r="O149" i="91"/>
  <c r="O148" i="91"/>
  <c r="O147" i="91"/>
  <c r="O146" i="91"/>
  <c r="O145" i="91"/>
  <c r="O144" i="91"/>
  <c r="O143" i="91"/>
  <c r="O142" i="91"/>
  <c r="O141" i="91"/>
  <c r="O140" i="91"/>
  <c r="O139" i="91"/>
  <c r="O138" i="91"/>
  <c r="O137" i="91"/>
  <c r="O136" i="91"/>
  <c r="O135" i="91"/>
  <c r="O134" i="91"/>
  <c r="O133" i="91"/>
  <c r="O132" i="91"/>
  <c r="O131" i="91"/>
  <c r="O130" i="91"/>
  <c r="O129" i="91"/>
  <c r="O128" i="91"/>
  <c r="O127" i="91"/>
  <c r="O126" i="91"/>
  <c r="O125" i="91"/>
  <c r="O124" i="91"/>
  <c r="O123" i="91"/>
  <c r="G123" i="91"/>
  <c r="O122" i="91"/>
  <c r="G122" i="91"/>
  <c r="O121" i="91"/>
  <c r="O120" i="91"/>
  <c r="G120" i="91"/>
  <c r="O119" i="91"/>
  <c r="G119" i="91"/>
  <c r="O118" i="91"/>
  <c r="G118" i="91"/>
  <c r="O117" i="91"/>
  <c r="O116" i="91"/>
  <c r="O115" i="91"/>
  <c r="O114" i="91"/>
  <c r="O113" i="91"/>
  <c r="O112" i="91"/>
  <c r="O111" i="91"/>
  <c r="O110" i="91"/>
  <c r="O109" i="91"/>
  <c r="O108" i="91"/>
  <c r="O107" i="91"/>
  <c r="O106" i="91"/>
  <c r="O105" i="91"/>
  <c r="O104" i="91"/>
  <c r="O103" i="91"/>
  <c r="O102" i="91"/>
  <c r="O101" i="91"/>
  <c r="O100" i="91"/>
  <c r="O99" i="91"/>
  <c r="O98" i="91"/>
  <c r="O97" i="91"/>
  <c r="O96" i="91"/>
  <c r="O95" i="91"/>
  <c r="O94" i="91"/>
  <c r="O93" i="91"/>
  <c r="O92" i="91"/>
  <c r="O91" i="91"/>
  <c r="O90" i="91"/>
  <c r="O89" i="91"/>
  <c r="O88" i="91"/>
  <c r="O87" i="91"/>
  <c r="O86" i="91"/>
  <c r="O85" i="91"/>
  <c r="O84" i="91"/>
  <c r="O83" i="91"/>
  <c r="O82" i="91"/>
  <c r="O81" i="91"/>
  <c r="O80" i="91"/>
  <c r="O79" i="91"/>
  <c r="O78" i="91"/>
  <c r="O77" i="91"/>
  <c r="O76" i="91"/>
  <c r="O75" i="91"/>
  <c r="O74" i="91"/>
  <c r="O73" i="91"/>
  <c r="O72" i="91"/>
  <c r="O71" i="91"/>
  <c r="O70" i="91"/>
  <c r="O69" i="91"/>
  <c r="O68" i="91"/>
  <c r="O67" i="91"/>
  <c r="O66" i="91"/>
  <c r="O65" i="91"/>
  <c r="O64" i="91"/>
  <c r="O63" i="91"/>
  <c r="O62" i="91"/>
  <c r="O61" i="91"/>
  <c r="O60" i="91"/>
  <c r="O59" i="91"/>
  <c r="O58" i="91"/>
  <c r="O57" i="91"/>
  <c r="O56" i="91"/>
  <c r="O55" i="91"/>
  <c r="O54" i="91"/>
  <c r="O53" i="91"/>
  <c r="O52" i="91"/>
  <c r="O51" i="91"/>
  <c r="O50" i="91"/>
  <c r="O49" i="91"/>
  <c r="O48" i="91"/>
  <c r="O47" i="91"/>
  <c r="O46" i="91"/>
  <c r="O45" i="91"/>
  <c r="O44" i="91"/>
  <c r="O43" i="91"/>
  <c r="O42" i="91"/>
  <c r="O41" i="91"/>
  <c r="O40" i="91"/>
  <c r="O39" i="91"/>
  <c r="O38" i="91"/>
  <c r="O37" i="91"/>
  <c r="O36" i="91"/>
  <c r="O35" i="91"/>
  <c r="O34" i="91"/>
  <c r="O33" i="91"/>
  <c r="O32" i="91"/>
  <c r="O31" i="91"/>
  <c r="O30" i="91"/>
  <c r="O29" i="91"/>
  <c r="O28" i="91"/>
  <c r="O27" i="91"/>
  <c r="E27" i="91"/>
  <c r="O26" i="91"/>
  <c r="E26" i="91"/>
  <c r="O25" i="91"/>
  <c r="F25" i="91"/>
  <c r="O24" i="91"/>
  <c r="O23" i="91"/>
  <c r="O22" i="91"/>
  <c r="O21" i="91"/>
  <c r="O20" i="91"/>
  <c r="O19" i="91"/>
  <c r="O18" i="91"/>
  <c r="O17" i="91"/>
  <c r="B17" i="91"/>
  <c r="O16" i="91"/>
  <c r="B16" i="91"/>
  <c r="O15" i="91"/>
  <c r="O14" i="91"/>
  <c r="O13" i="91"/>
  <c r="O12" i="91"/>
  <c r="B12" i="91"/>
  <c r="U11" i="91" s="1"/>
  <c r="V11" i="91" s="1"/>
  <c r="O11" i="91"/>
  <c r="B11" i="91"/>
  <c r="B37" i="91" s="1"/>
  <c r="O10" i="91"/>
  <c r="B10" i="91"/>
  <c r="O9" i="91"/>
  <c r="B9" i="91"/>
  <c r="O8" i="91"/>
  <c r="O7" i="91"/>
  <c r="O6" i="91"/>
  <c r="O5" i="91"/>
  <c r="O4" i="91"/>
  <c r="B4" i="91"/>
  <c r="O3" i="91"/>
  <c r="B3" i="91"/>
  <c r="O252" i="90"/>
  <c r="O251" i="90"/>
  <c r="O250" i="90"/>
  <c r="O249" i="90"/>
  <c r="O248" i="90"/>
  <c r="O247" i="90"/>
  <c r="O246" i="90"/>
  <c r="O245" i="90"/>
  <c r="O244" i="90"/>
  <c r="O243" i="90"/>
  <c r="O242" i="90"/>
  <c r="O241" i="90"/>
  <c r="O240" i="90"/>
  <c r="O239" i="90"/>
  <c r="O238" i="90"/>
  <c r="O237" i="90"/>
  <c r="O236" i="90"/>
  <c r="O235" i="90"/>
  <c r="O234" i="90"/>
  <c r="O233" i="90"/>
  <c r="O232" i="90"/>
  <c r="O231" i="90"/>
  <c r="O230" i="90"/>
  <c r="O229" i="90"/>
  <c r="O228" i="90"/>
  <c r="O227" i="90"/>
  <c r="O226" i="90"/>
  <c r="O225" i="90"/>
  <c r="O224" i="90"/>
  <c r="O223" i="90"/>
  <c r="O222" i="90"/>
  <c r="O221" i="90"/>
  <c r="O220" i="90"/>
  <c r="O219" i="90"/>
  <c r="O218" i="90"/>
  <c r="O217" i="90"/>
  <c r="O216" i="90"/>
  <c r="O215" i="90"/>
  <c r="O214" i="90"/>
  <c r="O213" i="90"/>
  <c r="O212" i="90"/>
  <c r="O211" i="90"/>
  <c r="O210" i="90"/>
  <c r="O209" i="90"/>
  <c r="O208" i="90"/>
  <c r="O207" i="90"/>
  <c r="O206" i="90"/>
  <c r="O205" i="90"/>
  <c r="O204" i="90"/>
  <c r="O203" i="90"/>
  <c r="O202" i="90"/>
  <c r="O201" i="90"/>
  <c r="O200" i="90"/>
  <c r="O199" i="90"/>
  <c r="O198" i="90"/>
  <c r="O197" i="90"/>
  <c r="O196" i="90"/>
  <c r="O195" i="90"/>
  <c r="O194" i="90"/>
  <c r="O193" i="90"/>
  <c r="O192" i="90"/>
  <c r="O191" i="90"/>
  <c r="O190" i="90"/>
  <c r="O189" i="90"/>
  <c r="O188" i="90"/>
  <c r="O187" i="90"/>
  <c r="O186" i="90"/>
  <c r="O185" i="90"/>
  <c r="O184" i="90"/>
  <c r="O183" i="90"/>
  <c r="O182" i="90"/>
  <c r="O181" i="90"/>
  <c r="O180" i="90"/>
  <c r="O179" i="90"/>
  <c r="O178" i="90"/>
  <c r="O177" i="90"/>
  <c r="O176" i="90"/>
  <c r="O175" i="90"/>
  <c r="O174" i="90"/>
  <c r="O173" i="90"/>
  <c r="O172" i="90"/>
  <c r="O171" i="90"/>
  <c r="O170" i="90"/>
  <c r="O169" i="90"/>
  <c r="O168" i="90"/>
  <c r="O167" i="90"/>
  <c r="O166" i="90"/>
  <c r="O165" i="90"/>
  <c r="O164" i="90"/>
  <c r="O163" i="90"/>
  <c r="O162" i="90"/>
  <c r="O161" i="90"/>
  <c r="O160" i="90"/>
  <c r="O159" i="90"/>
  <c r="O158" i="90"/>
  <c r="O157" i="90"/>
  <c r="O156" i="90"/>
  <c r="O155" i="90"/>
  <c r="O154" i="90"/>
  <c r="O153" i="90"/>
  <c r="O152" i="90"/>
  <c r="O151" i="90"/>
  <c r="O150" i="90"/>
  <c r="O149" i="90"/>
  <c r="O148" i="90"/>
  <c r="O147" i="90"/>
  <c r="O146" i="90"/>
  <c r="O145" i="90"/>
  <c r="O144" i="90"/>
  <c r="O143" i="90"/>
  <c r="O142" i="90"/>
  <c r="O141" i="90"/>
  <c r="O140" i="90"/>
  <c r="O139" i="90"/>
  <c r="O138" i="90"/>
  <c r="O137" i="90"/>
  <c r="O136" i="90"/>
  <c r="O135" i="90"/>
  <c r="O134" i="90"/>
  <c r="O133" i="90"/>
  <c r="O132" i="90"/>
  <c r="O131" i="90"/>
  <c r="O130" i="90"/>
  <c r="O129" i="90"/>
  <c r="O128" i="90"/>
  <c r="O127" i="90"/>
  <c r="O126" i="90"/>
  <c r="O125" i="90"/>
  <c r="O124" i="90"/>
  <c r="O123" i="90"/>
  <c r="G123" i="90"/>
  <c r="O122" i="90"/>
  <c r="G122" i="90"/>
  <c r="O121" i="90"/>
  <c r="O120" i="90"/>
  <c r="G120" i="90"/>
  <c r="O119" i="90"/>
  <c r="G119" i="90"/>
  <c r="O118" i="90"/>
  <c r="G118" i="90"/>
  <c r="O117" i="90"/>
  <c r="O116" i="90"/>
  <c r="O115" i="90"/>
  <c r="O114" i="90"/>
  <c r="O113" i="90"/>
  <c r="O112" i="90"/>
  <c r="O111" i="90"/>
  <c r="O110" i="90"/>
  <c r="O109" i="90"/>
  <c r="O108" i="90"/>
  <c r="O107" i="90"/>
  <c r="O106" i="90"/>
  <c r="O105" i="90"/>
  <c r="O104" i="90"/>
  <c r="O103" i="90"/>
  <c r="O102" i="90"/>
  <c r="O101" i="90"/>
  <c r="O100" i="90"/>
  <c r="O99" i="90"/>
  <c r="O98" i="90"/>
  <c r="O97" i="90"/>
  <c r="O96" i="90"/>
  <c r="O95" i="90"/>
  <c r="O94" i="90"/>
  <c r="O93" i="90"/>
  <c r="O92" i="90"/>
  <c r="O91" i="90"/>
  <c r="O90" i="90"/>
  <c r="O89" i="90"/>
  <c r="O88" i="90"/>
  <c r="O87" i="90"/>
  <c r="O86" i="90"/>
  <c r="O85" i="90"/>
  <c r="O84" i="90"/>
  <c r="O83" i="90"/>
  <c r="O82" i="90"/>
  <c r="O81" i="90"/>
  <c r="O80" i="90"/>
  <c r="O79" i="90"/>
  <c r="O78" i="90"/>
  <c r="O77" i="90"/>
  <c r="O76" i="90"/>
  <c r="O75" i="90"/>
  <c r="O74" i="90"/>
  <c r="O73" i="90"/>
  <c r="O72" i="90"/>
  <c r="O71" i="90"/>
  <c r="O70" i="90"/>
  <c r="O69" i="90"/>
  <c r="O68" i="90"/>
  <c r="O67" i="90"/>
  <c r="O66" i="90"/>
  <c r="O65" i="90"/>
  <c r="O64" i="90"/>
  <c r="O63" i="90"/>
  <c r="O62" i="90"/>
  <c r="O61" i="90"/>
  <c r="O60" i="90"/>
  <c r="O59" i="90"/>
  <c r="O58" i="90"/>
  <c r="O57" i="90"/>
  <c r="O56" i="90"/>
  <c r="O55" i="90"/>
  <c r="O54" i="90"/>
  <c r="O53" i="90"/>
  <c r="O52" i="90"/>
  <c r="O51" i="90"/>
  <c r="O50" i="90"/>
  <c r="O49" i="90"/>
  <c r="O48" i="90"/>
  <c r="O47" i="90"/>
  <c r="O46" i="90"/>
  <c r="O45" i="90"/>
  <c r="O44" i="90"/>
  <c r="O43" i="90"/>
  <c r="O42" i="90"/>
  <c r="O41" i="90"/>
  <c r="O40" i="90"/>
  <c r="O39" i="90"/>
  <c r="O38" i="90"/>
  <c r="O37" i="90"/>
  <c r="O36" i="90"/>
  <c r="O35" i="90"/>
  <c r="O34" i="90"/>
  <c r="O33" i="90"/>
  <c r="O32" i="90"/>
  <c r="O31" i="90"/>
  <c r="O30" i="90"/>
  <c r="O29" i="90"/>
  <c r="O28" i="90"/>
  <c r="O27" i="90"/>
  <c r="E27" i="90"/>
  <c r="O26" i="90"/>
  <c r="E26" i="90"/>
  <c r="O25" i="90"/>
  <c r="F25" i="90"/>
  <c r="O24" i="90"/>
  <c r="O23" i="90"/>
  <c r="O22" i="90"/>
  <c r="O21" i="90"/>
  <c r="O20" i="90"/>
  <c r="O19" i="90"/>
  <c r="O18" i="90"/>
  <c r="O17" i="90"/>
  <c r="B17" i="90"/>
  <c r="O16" i="90"/>
  <c r="B16" i="90"/>
  <c r="O15" i="90"/>
  <c r="O14" i="90"/>
  <c r="O13" i="90"/>
  <c r="O12" i="90"/>
  <c r="B12" i="90"/>
  <c r="U11" i="90" s="1"/>
  <c r="V11" i="90" s="1"/>
  <c r="O11" i="90"/>
  <c r="B11" i="90"/>
  <c r="B37" i="90" s="1"/>
  <c r="O10" i="90"/>
  <c r="B10" i="90"/>
  <c r="O9" i="90"/>
  <c r="B9" i="90"/>
  <c r="O8" i="90"/>
  <c r="O7" i="90"/>
  <c r="O6" i="90"/>
  <c r="O5" i="90"/>
  <c r="O4" i="90"/>
  <c r="B4" i="90"/>
  <c r="O3" i="90"/>
  <c r="B3" i="90"/>
  <c r="O252" i="89"/>
  <c r="O251" i="89"/>
  <c r="O250" i="89"/>
  <c r="O249" i="89"/>
  <c r="O248" i="89"/>
  <c r="O247" i="89"/>
  <c r="O246" i="89"/>
  <c r="O245" i="89"/>
  <c r="O244" i="89"/>
  <c r="O243" i="89"/>
  <c r="O242" i="89"/>
  <c r="O241" i="89"/>
  <c r="O240" i="89"/>
  <c r="O239" i="89"/>
  <c r="O238" i="89"/>
  <c r="O237" i="89"/>
  <c r="O236" i="89"/>
  <c r="O235" i="89"/>
  <c r="O234" i="89"/>
  <c r="O233" i="89"/>
  <c r="O232" i="89"/>
  <c r="O231" i="89"/>
  <c r="O230" i="89"/>
  <c r="O229" i="89"/>
  <c r="O228" i="89"/>
  <c r="O227" i="89"/>
  <c r="O226" i="89"/>
  <c r="O225" i="89"/>
  <c r="O224" i="89"/>
  <c r="O223" i="89"/>
  <c r="O222" i="89"/>
  <c r="O221" i="89"/>
  <c r="O220" i="89"/>
  <c r="O219" i="89"/>
  <c r="O218" i="89"/>
  <c r="O217" i="89"/>
  <c r="O216" i="89"/>
  <c r="O215" i="89"/>
  <c r="O214" i="89"/>
  <c r="O213" i="89"/>
  <c r="O212" i="89"/>
  <c r="O211" i="89"/>
  <c r="O210" i="89"/>
  <c r="O209" i="89"/>
  <c r="O208" i="89"/>
  <c r="O207" i="89"/>
  <c r="O206" i="89"/>
  <c r="O205" i="89"/>
  <c r="O204" i="89"/>
  <c r="O203" i="89"/>
  <c r="O202" i="89"/>
  <c r="O201" i="89"/>
  <c r="O200" i="89"/>
  <c r="O199" i="89"/>
  <c r="O198" i="89"/>
  <c r="O197" i="89"/>
  <c r="O196" i="89"/>
  <c r="O195" i="89"/>
  <c r="O194" i="89"/>
  <c r="O193" i="89"/>
  <c r="O192" i="89"/>
  <c r="O191" i="89"/>
  <c r="O190" i="89"/>
  <c r="O189" i="89"/>
  <c r="O188" i="89"/>
  <c r="O187" i="89"/>
  <c r="O186" i="89"/>
  <c r="O185" i="89"/>
  <c r="O184" i="89"/>
  <c r="O183" i="89"/>
  <c r="O182" i="89"/>
  <c r="O181" i="89"/>
  <c r="O180" i="89"/>
  <c r="O179" i="89"/>
  <c r="O178" i="89"/>
  <c r="O177" i="89"/>
  <c r="O176" i="89"/>
  <c r="O175" i="89"/>
  <c r="O174" i="89"/>
  <c r="O173" i="89"/>
  <c r="O172" i="89"/>
  <c r="O171" i="89"/>
  <c r="O170" i="89"/>
  <c r="O169" i="89"/>
  <c r="O168" i="89"/>
  <c r="O167" i="89"/>
  <c r="O166" i="89"/>
  <c r="O165" i="89"/>
  <c r="O164" i="89"/>
  <c r="O163" i="89"/>
  <c r="O162" i="89"/>
  <c r="O161" i="89"/>
  <c r="O160" i="89"/>
  <c r="O159" i="89"/>
  <c r="O158" i="89"/>
  <c r="O157" i="89"/>
  <c r="O156" i="89"/>
  <c r="O155" i="89"/>
  <c r="O154" i="89"/>
  <c r="O153" i="89"/>
  <c r="O152" i="89"/>
  <c r="O151" i="89"/>
  <c r="O150" i="89"/>
  <c r="O149" i="89"/>
  <c r="O148" i="89"/>
  <c r="O147" i="89"/>
  <c r="O146" i="89"/>
  <c r="O145" i="89"/>
  <c r="O144" i="89"/>
  <c r="O143" i="89"/>
  <c r="O142" i="89"/>
  <c r="O141" i="89"/>
  <c r="O140" i="89"/>
  <c r="O139" i="89"/>
  <c r="O138" i="89"/>
  <c r="O137" i="89"/>
  <c r="O136" i="89"/>
  <c r="O135" i="89"/>
  <c r="O134" i="89"/>
  <c r="O133" i="89"/>
  <c r="O132" i="89"/>
  <c r="O131" i="89"/>
  <c r="O130" i="89"/>
  <c r="O129" i="89"/>
  <c r="O128" i="89"/>
  <c r="O127" i="89"/>
  <c r="O126" i="89"/>
  <c r="O125" i="89"/>
  <c r="O124" i="89"/>
  <c r="O123" i="89"/>
  <c r="G123" i="89"/>
  <c r="O122" i="89"/>
  <c r="G122" i="89"/>
  <c r="O121" i="89"/>
  <c r="O120" i="89"/>
  <c r="G120" i="89"/>
  <c r="O119" i="89"/>
  <c r="G119" i="89"/>
  <c r="O118" i="89"/>
  <c r="G118" i="89"/>
  <c r="O117" i="89"/>
  <c r="O116" i="89"/>
  <c r="O115" i="89"/>
  <c r="O114" i="89"/>
  <c r="O113" i="89"/>
  <c r="O112" i="89"/>
  <c r="O111" i="89"/>
  <c r="O110" i="89"/>
  <c r="O109" i="89"/>
  <c r="O108" i="89"/>
  <c r="O107" i="89"/>
  <c r="O106" i="89"/>
  <c r="O105" i="89"/>
  <c r="O104" i="89"/>
  <c r="O103" i="89"/>
  <c r="O102" i="89"/>
  <c r="O101" i="89"/>
  <c r="O100" i="89"/>
  <c r="O99" i="89"/>
  <c r="O98" i="89"/>
  <c r="O97" i="89"/>
  <c r="O96" i="89"/>
  <c r="O95" i="89"/>
  <c r="O94" i="89"/>
  <c r="O93" i="89"/>
  <c r="O92" i="89"/>
  <c r="O91" i="89"/>
  <c r="O90" i="89"/>
  <c r="O89" i="89"/>
  <c r="O88" i="89"/>
  <c r="O87" i="89"/>
  <c r="O86" i="89"/>
  <c r="O85" i="89"/>
  <c r="O84" i="89"/>
  <c r="O83" i="89"/>
  <c r="O82" i="89"/>
  <c r="O81" i="89"/>
  <c r="O80" i="89"/>
  <c r="O79" i="89"/>
  <c r="O78" i="89"/>
  <c r="O77" i="89"/>
  <c r="O76" i="89"/>
  <c r="O75" i="89"/>
  <c r="O74" i="89"/>
  <c r="O73" i="89"/>
  <c r="O72" i="89"/>
  <c r="O71" i="89"/>
  <c r="O70" i="89"/>
  <c r="O69" i="89"/>
  <c r="O68" i="89"/>
  <c r="O67" i="89"/>
  <c r="O66" i="89"/>
  <c r="O65" i="89"/>
  <c r="O64" i="89"/>
  <c r="O63" i="89"/>
  <c r="O62" i="89"/>
  <c r="O61" i="89"/>
  <c r="O60" i="89"/>
  <c r="O59" i="89"/>
  <c r="O58" i="89"/>
  <c r="O57" i="89"/>
  <c r="O56" i="89"/>
  <c r="O55" i="89"/>
  <c r="O54" i="89"/>
  <c r="O53" i="89"/>
  <c r="O52" i="89"/>
  <c r="O51" i="89"/>
  <c r="O50" i="89"/>
  <c r="O49" i="89"/>
  <c r="O48" i="89"/>
  <c r="O47" i="89"/>
  <c r="O46" i="89"/>
  <c r="O45" i="89"/>
  <c r="O44" i="89"/>
  <c r="O43" i="89"/>
  <c r="O42" i="89"/>
  <c r="O41" i="89"/>
  <c r="O40" i="89"/>
  <c r="O39" i="89"/>
  <c r="O38" i="89"/>
  <c r="O37" i="89"/>
  <c r="O36" i="89"/>
  <c r="O35" i="89"/>
  <c r="O34" i="89"/>
  <c r="O33" i="89"/>
  <c r="O32" i="89"/>
  <c r="O31" i="89"/>
  <c r="O30" i="89"/>
  <c r="O29" i="89"/>
  <c r="O28" i="89"/>
  <c r="O27" i="89"/>
  <c r="E27" i="89"/>
  <c r="O26" i="89"/>
  <c r="E26" i="89"/>
  <c r="E31" i="89" s="1"/>
  <c r="O25" i="89"/>
  <c r="F25" i="89"/>
  <c r="O24" i="89"/>
  <c r="O23" i="89"/>
  <c r="O22" i="89"/>
  <c r="O21" i="89"/>
  <c r="O20" i="89"/>
  <c r="O19" i="89"/>
  <c r="O18" i="89"/>
  <c r="O17" i="89"/>
  <c r="B17" i="89"/>
  <c r="F106" i="89" s="1"/>
  <c r="G106" i="89" s="1"/>
  <c r="O16" i="89"/>
  <c r="B16" i="89"/>
  <c r="F74" i="89" s="1"/>
  <c r="G74" i="89" s="1"/>
  <c r="O15" i="89"/>
  <c r="O14" i="89"/>
  <c r="O13" i="89"/>
  <c r="O12" i="89"/>
  <c r="B12" i="89"/>
  <c r="U11" i="89" s="1"/>
  <c r="V11" i="89" s="1"/>
  <c r="O11" i="89"/>
  <c r="B11" i="89"/>
  <c r="O10" i="89"/>
  <c r="B10" i="89"/>
  <c r="B36" i="89" s="1"/>
  <c r="O9" i="89"/>
  <c r="B9" i="89"/>
  <c r="O8" i="89"/>
  <c r="O7" i="89"/>
  <c r="O6" i="89"/>
  <c r="O5" i="89"/>
  <c r="O4" i="89"/>
  <c r="B4" i="89"/>
  <c r="O3" i="89"/>
  <c r="B3" i="89"/>
  <c r="O252" i="88"/>
  <c r="O251" i="88"/>
  <c r="O250" i="88"/>
  <c r="O249" i="88"/>
  <c r="O248" i="88"/>
  <c r="O247" i="88"/>
  <c r="O246" i="88"/>
  <c r="O245" i="88"/>
  <c r="O244" i="88"/>
  <c r="O243" i="88"/>
  <c r="O242" i="88"/>
  <c r="O241" i="88"/>
  <c r="O240" i="88"/>
  <c r="O239" i="88"/>
  <c r="O238" i="88"/>
  <c r="O237" i="88"/>
  <c r="O236" i="88"/>
  <c r="O235" i="88"/>
  <c r="O234" i="88"/>
  <c r="O233" i="88"/>
  <c r="O232" i="88"/>
  <c r="O231" i="88"/>
  <c r="O230" i="88"/>
  <c r="O229" i="88"/>
  <c r="O228" i="88"/>
  <c r="O227" i="88"/>
  <c r="O226" i="88"/>
  <c r="O225" i="88"/>
  <c r="O224" i="88"/>
  <c r="O223" i="88"/>
  <c r="O222" i="88"/>
  <c r="O221" i="88"/>
  <c r="O220" i="88"/>
  <c r="O219" i="88"/>
  <c r="O218" i="88"/>
  <c r="O217" i="88"/>
  <c r="O216" i="88"/>
  <c r="O215" i="88"/>
  <c r="O214" i="88"/>
  <c r="O213" i="88"/>
  <c r="O212" i="88"/>
  <c r="O211" i="88"/>
  <c r="O210" i="88"/>
  <c r="O209" i="88"/>
  <c r="O208" i="88"/>
  <c r="O207" i="88"/>
  <c r="O206" i="88"/>
  <c r="O205" i="88"/>
  <c r="O204" i="88"/>
  <c r="O203" i="88"/>
  <c r="O202" i="88"/>
  <c r="O201" i="88"/>
  <c r="O200" i="88"/>
  <c r="O199" i="88"/>
  <c r="O198" i="88"/>
  <c r="O197" i="88"/>
  <c r="O196" i="88"/>
  <c r="O195" i="88"/>
  <c r="O194" i="88"/>
  <c r="O193" i="88"/>
  <c r="O192" i="88"/>
  <c r="O191" i="88"/>
  <c r="O190" i="88"/>
  <c r="O189" i="88"/>
  <c r="O188" i="88"/>
  <c r="O187" i="88"/>
  <c r="O186" i="88"/>
  <c r="O185" i="88"/>
  <c r="O184" i="88"/>
  <c r="O183" i="88"/>
  <c r="O182" i="88"/>
  <c r="O181" i="88"/>
  <c r="O180" i="88"/>
  <c r="O179" i="88"/>
  <c r="O178" i="88"/>
  <c r="O177" i="88"/>
  <c r="O176" i="88"/>
  <c r="O175" i="88"/>
  <c r="O174" i="88"/>
  <c r="O173" i="88"/>
  <c r="O172" i="88"/>
  <c r="O171" i="88"/>
  <c r="O170" i="88"/>
  <c r="O169" i="88"/>
  <c r="O168" i="88"/>
  <c r="O167" i="88"/>
  <c r="O166" i="88"/>
  <c r="O165" i="88"/>
  <c r="O164" i="88"/>
  <c r="O163" i="88"/>
  <c r="O162" i="88"/>
  <c r="O161" i="88"/>
  <c r="O160" i="88"/>
  <c r="O159" i="88"/>
  <c r="O158" i="88"/>
  <c r="O157" i="88"/>
  <c r="O156" i="88"/>
  <c r="O155" i="88"/>
  <c r="O154" i="88"/>
  <c r="O153" i="88"/>
  <c r="O152" i="88"/>
  <c r="O151" i="88"/>
  <c r="O150" i="88"/>
  <c r="O149" i="88"/>
  <c r="O148" i="88"/>
  <c r="O147" i="88"/>
  <c r="O146" i="88"/>
  <c r="O145" i="88"/>
  <c r="O144" i="88"/>
  <c r="O143" i="88"/>
  <c r="O142" i="88"/>
  <c r="O141" i="88"/>
  <c r="O140" i="88"/>
  <c r="O139" i="88"/>
  <c r="O138" i="88"/>
  <c r="O137" i="88"/>
  <c r="O136" i="88"/>
  <c r="O135" i="88"/>
  <c r="O134" i="88"/>
  <c r="O133" i="88"/>
  <c r="O132" i="88"/>
  <c r="O131" i="88"/>
  <c r="O130" i="88"/>
  <c r="O129" i="88"/>
  <c r="O128" i="88"/>
  <c r="O127" i="88"/>
  <c r="O126" i="88"/>
  <c r="O125" i="88"/>
  <c r="O124" i="88"/>
  <c r="O123" i="88"/>
  <c r="G123" i="88"/>
  <c r="O122" i="88"/>
  <c r="G122" i="88"/>
  <c r="O121" i="88"/>
  <c r="O120" i="88"/>
  <c r="G120" i="88"/>
  <c r="O119" i="88"/>
  <c r="G119" i="88"/>
  <c r="O118" i="88"/>
  <c r="G118" i="88"/>
  <c r="O117" i="88"/>
  <c r="O116" i="88"/>
  <c r="O115" i="88"/>
  <c r="O114" i="88"/>
  <c r="O113" i="88"/>
  <c r="O112" i="88"/>
  <c r="O111" i="88"/>
  <c r="O110" i="88"/>
  <c r="O109" i="88"/>
  <c r="O108" i="88"/>
  <c r="O107" i="88"/>
  <c r="O106" i="88"/>
  <c r="O105" i="88"/>
  <c r="O104" i="88"/>
  <c r="O103" i="88"/>
  <c r="O102" i="88"/>
  <c r="O101" i="88"/>
  <c r="O100" i="88"/>
  <c r="O99" i="88"/>
  <c r="O98" i="88"/>
  <c r="O97" i="88"/>
  <c r="O96" i="88"/>
  <c r="O95" i="88"/>
  <c r="O94" i="88"/>
  <c r="O93" i="88"/>
  <c r="O92" i="88"/>
  <c r="O91" i="88"/>
  <c r="O90" i="88"/>
  <c r="O89" i="88"/>
  <c r="O88" i="88"/>
  <c r="O87" i="88"/>
  <c r="O86" i="88"/>
  <c r="O85" i="88"/>
  <c r="O84" i="88"/>
  <c r="O83" i="88"/>
  <c r="O82" i="88"/>
  <c r="O81" i="88"/>
  <c r="O80" i="88"/>
  <c r="O79" i="88"/>
  <c r="O78" i="88"/>
  <c r="O77" i="88"/>
  <c r="O76" i="88"/>
  <c r="O75" i="88"/>
  <c r="O74" i="88"/>
  <c r="O73" i="88"/>
  <c r="O72" i="88"/>
  <c r="O71" i="88"/>
  <c r="O70" i="88"/>
  <c r="O69" i="88"/>
  <c r="O68" i="88"/>
  <c r="O67" i="88"/>
  <c r="O66" i="88"/>
  <c r="O65" i="88"/>
  <c r="O64" i="88"/>
  <c r="O63" i="88"/>
  <c r="O62" i="88"/>
  <c r="O61" i="88"/>
  <c r="O60" i="88"/>
  <c r="O59" i="88"/>
  <c r="O58" i="88"/>
  <c r="O57" i="88"/>
  <c r="O56" i="88"/>
  <c r="O55" i="88"/>
  <c r="O54" i="88"/>
  <c r="O53" i="88"/>
  <c r="O52" i="88"/>
  <c r="O51" i="88"/>
  <c r="O50" i="88"/>
  <c r="O49" i="88"/>
  <c r="O48" i="88"/>
  <c r="O47" i="88"/>
  <c r="O46" i="88"/>
  <c r="O45" i="88"/>
  <c r="O44" i="88"/>
  <c r="O43" i="88"/>
  <c r="O42" i="88"/>
  <c r="O41" i="88"/>
  <c r="O40" i="88"/>
  <c r="O39" i="88"/>
  <c r="O38" i="88"/>
  <c r="O37" i="88"/>
  <c r="O36" i="88"/>
  <c r="O35" i="88"/>
  <c r="O34" i="88"/>
  <c r="O33" i="88"/>
  <c r="O32" i="88"/>
  <c r="O31" i="88"/>
  <c r="O30" i="88"/>
  <c r="O29" i="88"/>
  <c r="O28" i="88"/>
  <c r="O27" i="88"/>
  <c r="E27" i="88"/>
  <c r="O26" i="88"/>
  <c r="E26" i="88"/>
  <c r="E31" i="88" s="1"/>
  <c r="O25" i="88"/>
  <c r="F25" i="88"/>
  <c r="O24" i="88"/>
  <c r="O23" i="88"/>
  <c r="O22" i="88"/>
  <c r="O21" i="88"/>
  <c r="O20" i="88"/>
  <c r="O19" i="88"/>
  <c r="O18" i="88"/>
  <c r="O17" i="88"/>
  <c r="B17" i="88"/>
  <c r="O16" i="88"/>
  <c r="B16" i="88"/>
  <c r="O15" i="88"/>
  <c r="O14" i="88"/>
  <c r="O13" i="88"/>
  <c r="O12" i="88"/>
  <c r="B12" i="88"/>
  <c r="U11" i="88" s="1"/>
  <c r="V11" i="88" s="1"/>
  <c r="O11" i="88"/>
  <c r="B11" i="88"/>
  <c r="O10" i="88"/>
  <c r="B10" i="88"/>
  <c r="O9" i="88"/>
  <c r="B9" i="88"/>
  <c r="O8" i="88"/>
  <c r="O7" i="88"/>
  <c r="O6" i="88"/>
  <c r="O5" i="88"/>
  <c r="O4" i="88"/>
  <c r="B4" i="88"/>
  <c r="O3" i="88"/>
  <c r="B3" i="88"/>
  <c r="B4" i="87"/>
  <c r="B3" i="87"/>
  <c r="B4" i="86"/>
  <c r="B3" i="86"/>
  <c r="B4" i="45"/>
  <c r="B3" i="45"/>
  <c r="O252" i="87"/>
  <c r="O251" i="87"/>
  <c r="O250" i="87"/>
  <c r="O249" i="87"/>
  <c r="O248" i="87"/>
  <c r="O247" i="87"/>
  <c r="O246" i="87"/>
  <c r="O245" i="87"/>
  <c r="O244" i="87"/>
  <c r="O243" i="87"/>
  <c r="O242" i="87"/>
  <c r="O241" i="87"/>
  <c r="O240" i="87"/>
  <c r="O239" i="87"/>
  <c r="O238" i="87"/>
  <c r="O237" i="87"/>
  <c r="O236" i="87"/>
  <c r="O235" i="87"/>
  <c r="O234" i="87"/>
  <c r="O233" i="87"/>
  <c r="O232" i="87"/>
  <c r="O231" i="87"/>
  <c r="O230" i="87"/>
  <c r="O229" i="87"/>
  <c r="O228" i="87"/>
  <c r="O227" i="87"/>
  <c r="O226" i="87"/>
  <c r="O225" i="87"/>
  <c r="O224" i="87"/>
  <c r="O223" i="87"/>
  <c r="O222" i="87"/>
  <c r="O221" i="87"/>
  <c r="O220" i="87"/>
  <c r="O219" i="87"/>
  <c r="O218" i="87"/>
  <c r="O217" i="87"/>
  <c r="O216" i="87"/>
  <c r="O215" i="87"/>
  <c r="O214" i="87"/>
  <c r="O213" i="87"/>
  <c r="O212" i="87"/>
  <c r="O211" i="87"/>
  <c r="O210" i="87"/>
  <c r="O209" i="87"/>
  <c r="O208" i="87"/>
  <c r="O207" i="87"/>
  <c r="O206" i="87"/>
  <c r="O205" i="87"/>
  <c r="O204" i="87"/>
  <c r="O203" i="87"/>
  <c r="O202" i="87"/>
  <c r="O201" i="87"/>
  <c r="O200" i="87"/>
  <c r="O199" i="87"/>
  <c r="O198" i="87"/>
  <c r="O197" i="87"/>
  <c r="O196" i="87"/>
  <c r="O195" i="87"/>
  <c r="O194" i="87"/>
  <c r="O193" i="87"/>
  <c r="O192" i="87"/>
  <c r="O191" i="87"/>
  <c r="O190" i="87"/>
  <c r="O189" i="87"/>
  <c r="O188" i="87"/>
  <c r="O187" i="87"/>
  <c r="O186" i="87"/>
  <c r="O185" i="87"/>
  <c r="O184" i="87"/>
  <c r="O183" i="87"/>
  <c r="O182" i="87"/>
  <c r="O181" i="87"/>
  <c r="O180" i="87"/>
  <c r="O179" i="87"/>
  <c r="O178" i="87"/>
  <c r="O177" i="87"/>
  <c r="O176" i="87"/>
  <c r="O175" i="87"/>
  <c r="O174" i="87"/>
  <c r="O173" i="87"/>
  <c r="O172" i="87"/>
  <c r="O171" i="87"/>
  <c r="O170" i="87"/>
  <c r="O169" i="87"/>
  <c r="O168" i="87"/>
  <c r="O167" i="87"/>
  <c r="O166" i="87"/>
  <c r="O165" i="87"/>
  <c r="O164" i="87"/>
  <c r="O163" i="87"/>
  <c r="O162" i="87"/>
  <c r="O161" i="87"/>
  <c r="O160" i="87"/>
  <c r="O159" i="87"/>
  <c r="O158" i="87"/>
  <c r="O157" i="87"/>
  <c r="O156" i="87"/>
  <c r="O155" i="87"/>
  <c r="O154" i="87"/>
  <c r="O153" i="87"/>
  <c r="O152" i="87"/>
  <c r="O151" i="87"/>
  <c r="O150" i="87"/>
  <c r="O149" i="87"/>
  <c r="O148" i="87"/>
  <c r="O147" i="87"/>
  <c r="O146" i="87"/>
  <c r="O145" i="87"/>
  <c r="O144" i="87"/>
  <c r="O143" i="87"/>
  <c r="O142" i="87"/>
  <c r="O141" i="87"/>
  <c r="O140" i="87"/>
  <c r="O139" i="87"/>
  <c r="O138" i="87"/>
  <c r="O137" i="87"/>
  <c r="O136" i="87"/>
  <c r="O135" i="87"/>
  <c r="O134" i="87"/>
  <c r="O133" i="87"/>
  <c r="O132" i="87"/>
  <c r="O131" i="87"/>
  <c r="O130" i="87"/>
  <c r="O129" i="87"/>
  <c r="O128" i="87"/>
  <c r="O127" i="87"/>
  <c r="O126" i="87"/>
  <c r="O125" i="87"/>
  <c r="O124" i="87"/>
  <c r="O123" i="87"/>
  <c r="G123" i="87"/>
  <c r="O122" i="87"/>
  <c r="G122" i="87"/>
  <c r="O121" i="87"/>
  <c r="O120" i="87"/>
  <c r="G120" i="87"/>
  <c r="O119" i="87"/>
  <c r="G119" i="87"/>
  <c r="O118" i="87"/>
  <c r="G118" i="87"/>
  <c r="O117" i="87"/>
  <c r="O116" i="87"/>
  <c r="O115" i="87"/>
  <c r="O114" i="87"/>
  <c r="O113" i="87"/>
  <c r="O112" i="87"/>
  <c r="O111" i="87"/>
  <c r="O110" i="87"/>
  <c r="O109" i="87"/>
  <c r="O108" i="87"/>
  <c r="O107" i="87"/>
  <c r="O106" i="87"/>
  <c r="O105" i="87"/>
  <c r="O104" i="87"/>
  <c r="O103" i="87"/>
  <c r="O102" i="87"/>
  <c r="O101" i="87"/>
  <c r="O100" i="87"/>
  <c r="O99" i="87"/>
  <c r="O98" i="87"/>
  <c r="O97" i="87"/>
  <c r="O96" i="87"/>
  <c r="O95" i="87"/>
  <c r="O94" i="87"/>
  <c r="O93" i="87"/>
  <c r="O92" i="87"/>
  <c r="O91" i="87"/>
  <c r="O90" i="87"/>
  <c r="O89" i="87"/>
  <c r="O88" i="87"/>
  <c r="O87" i="87"/>
  <c r="O86" i="87"/>
  <c r="O85" i="87"/>
  <c r="O84" i="87"/>
  <c r="O83" i="87"/>
  <c r="O82" i="87"/>
  <c r="O81" i="87"/>
  <c r="O80" i="87"/>
  <c r="O79" i="87"/>
  <c r="O78" i="87"/>
  <c r="O77" i="87"/>
  <c r="O76" i="87"/>
  <c r="O75" i="87"/>
  <c r="O74" i="87"/>
  <c r="O73" i="87"/>
  <c r="O72" i="87"/>
  <c r="O71" i="87"/>
  <c r="O70" i="87"/>
  <c r="O69" i="87"/>
  <c r="O68" i="87"/>
  <c r="O67" i="87"/>
  <c r="O66" i="87"/>
  <c r="O65" i="87"/>
  <c r="O64" i="87"/>
  <c r="O63" i="87"/>
  <c r="O62" i="87"/>
  <c r="O61" i="87"/>
  <c r="O60" i="87"/>
  <c r="O59" i="87"/>
  <c r="O58" i="87"/>
  <c r="O57" i="87"/>
  <c r="O56" i="87"/>
  <c r="O55" i="87"/>
  <c r="O54" i="87"/>
  <c r="O53" i="87"/>
  <c r="O52" i="87"/>
  <c r="O51" i="87"/>
  <c r="O50" i="87"/>
  <c r="O49" i="87"/>
  <c r="O48" i="87"/>
  <c r="O47" i="87"/>
  <c r="O46" i="87"/>
  <c r="O45" i="87"/>
  <c r="O44" i="87"/>
  <c r="O43" i="87"/>
  <c r="O42" i="87"/>
  <c r="O41" i="87"/>
  <c r="O40" i="87"/>
  <c r="O39" i="87"/>
  <c r="O38" i="87"/>
  <c r="O37" i="87"/>
  <c r="O36" i="87"/>
  <c r="O35" i="87"/>
  <c r="O34" i="87"/>
  <c r="O33" i="87"/>
  <c r="O32" i="87"/>
  <c r="O31" i="87"/>
  <c r="O30" i="87"/>
  <c r="O29" i="87"/>
  <c r="O28" i="87"/>
  <c r="O27" i="87"/>
  <c r="E27" i="87"/>
  <c r="O26" i="87"/>
  <c r="E26" i="87"/>
  <c r="E31" i="87" s="1"/>
  <c r="O25" i="87"/>
  <c r="F25" i="87"/>
  <c r="O24" i="87"/>
  <c r="O23" i="87"/>
  <c r="O22" i="87"/>
  <c r="O21" i="87"/>
  <c r="O20" i="87"/>
  <c r="O19" i="87"/>
  <c r="O18" i="87"/>
  <c r="O17" i="87"/>
  <c r="B17" i="87"/>
  <c r="O16" i="87"/>
  <c r="B16" i="87"/>
  <c r="O15" i="87"/>
  <c r="O14" i="87"/>
  <c r="O13" i="87"/>
  <c r="O12" i="87"/>
  <c r="B12" i="87"/>
  <c r="U11" i="87" s="1"/>
  <c r="V11" i="87" s="1"/>
  <c r="O11" i="87"/>
  <c r="B11" i="87"/>
  <c r="B37" i="87" s="1"/>
  <c r="O10" i="87"/>
  <c r="B10" i="87"/>
  <c r="O9" i="87"/>
  <c r="B9" i="87"/>
  <c r="O8" i="87"/>
  <c r="O7" i="87"/>
  <c r="O6" i="87"/>
  <c r="O5" i="87"/>
  <c r="O4" i="87"/>
  <c r="O3" i="87"/>
  <c r="O252" i="86"/>
  <c r="O251" i="86"/>
  <c r="O250" i="86"/>
  <c r="O249" i="86"/>
  <c r="O248" i="86"/>
  <c r="O247" i="86"/>
  <c r="O246" i="86"/>
  <c r="O245" i="86"/>
  <c r="O244" i="86"/>
  <c r="O243" i="86"/>
  <c r="O242" i="86"/>
  <c r="O241" i="86"/>
  <c r="O240" i="86"/>
  <c r="O239" i="86"/>
  <c r="O238" i="86"/>
  <c r="O237" i="86"/>
  <c r="O236" i="86"/>
  <c r="O235" i="86"/>
  <c r="O234" i="86"/>
  <c r="O233" i="86"/>
  <c r="O232" i="86"/>
  <c r="O231" i="86"/>
  <c r="O230" i="86"/>
  <c r="O229" i="86"/>
  <c r="O228" i="86"/>
  <c r="O227" i="86"/>
  <c r="O226" i="86"/>
  <c r="O225" i="86"/>
  <c r="O224" i="86"/>
  <c r="O223" i="86"/>
  <c r="O222" i="86"/>
  <c r="O221" i="86"/>
  <c r="O220" i="86"/>
  <c r="O219" i="86"/>
  <c r="O218" i="86"/>
  <c r="O217" i="86"/>
  <c r="O216" i="86"/>
  <c r="O215" i="86"/>
  <c r="O214" i="86"/>
  <c r="O213" i="86"/>
  <c r="O212" i="86"/>
  <c r="O211" i="86"/>
  <c r="O210" i="86"/>
  <c r="O209" i="86"/>
  <c r="O208" i="86"/>
  <c r="O207" i="86"/>
  <c r="O206" i="86"/>
  <c r="O205" i="86"/>
  <c r="O204" i="86"/>
  <c r="O203" i="86"/>
  <c r="O202" i="86"/>
  <c r="O201" i="86"/>
  <c r="O200" i="86"/>
  <c r="O199" i="86"/>
  <c r="O198" i="86"/>
  <c r="O197" i="86"/>
  <c r="O196" i="86"/>
  <c r="O195" i="86"/>
  <c r="O194" i="86"/>
  <c r="O193" i="86"/>
  <c r="O192" i="86"/>
  <c r="O191" i="86"/>
  <c r="O190" i="86"/>
  <c r="O189" i="86"/>
  <c r="O188" i="86"/>
  <c r="O187" i="86"/>
  <c r="O186" i="86"/>
  <c r="O185" i="86"/>
  <c r="O184" i="86"/>
  <c r="O183" i="86"/>
  <c r="O182" i="86"/>
  <c r="O181" i="86"/>
  <c r="O180" i="86"/>
  <c r="O179" i="86"/>
  <c r="O178" i="86"/>
  <c r="O177" i="86"/>
  <c r="O176" i="86"/>
  <c r="O175" i="86"/>
  <c r="O174" i="86"/>
  <c r="O173" i="86"/>
  <c r="O172" i="86"/>
  <c r="O171" i="86"/>
  <c r="O170" i="86"/>
  <c r="O169" i="86"/>
  <c r="O168" i="86"/>
  <c r="O167" i="86"/>
  <c r="O166" i="86"/>
  <c r="O165" i="86"/>
  <c r="O164" i="86"/>
  <c r="O163" i="86"/>
  <c r="O162" i="86"/>
  <c r="O161" i="86"/>
  <c r="O160" i="86"/>
  <c r="O159" i="86"/>
  <c r="O158" i="86"/>
  <c r="O157" i="86"/>
  <c r="O156" i="86"/>
  <c r="O155" i="86"/>
  <c r="O154" i="86"/>
  <c r="O153" i="86"/>
  <c r="O152" i="86"/>
  <c r="O151" i="86"/>
  <c r="O150" i="86"/>
  <c r="O149" i="86"/>
  <c r="O148" i="86"/>
  <c r="O147" i="86"/>
  <c r="O146" i="86"/>
  <c r="O145" i="86"/>
  <c r="O144" i="86"/>
  <c r="O143" i="86"/>
  <c r="O142" i="86"/>
  <c r="O141" i="86"/>
  <c r="O140" i="86"/>
  <c r="O139" i="86"/>
  <c r="O138" i="86"/>
  <c r="O137" i="86"/>
  <c r="O136" i="86"/>
  <c r="O135" i="86"/>
  <c r="O134" i="86"/>
  <c r="O133" i="86"/>
  <c r="O132" i="86"/>
  <c r="O131" i="86"/>
  <c r="O130" i="86"/>
  <c r="O129" i="86"/>
  <c r="O128" i="86"/>
  <c r="O127" i="86"/>
  <c r="O126" i="86"/>
  <c r="O125" i="86"/>
  <c r="O124" i="86"/>
  <c r="O123" i="86"/>
  <c r="G123" i="86"/>
  <c r="O122" i="86"/>
  <c r="G122" i="86"/>
  <c r="O121" i="86"/>
  <c r="O120" i="86"/>
  <c r="G120" i="86"/>
  <c r="O119" i="86"/>
  <c r="G119" i="86"/>
  <c r="O118" i="86"/>
  <c r="G118" i="86"/>
  <c r="O117" i="86"/>
  <c r="O116" i="86"/>
  <c r="O115" i="86"/>
  <c r="O114" i="86"/>
  <c r="O113" i="86"/>
  <c r="O112" i="86"/>
  <c r="O111" i="86"/>
  <c r="O110" i="86"/>
  <c r="O109" i="86"/>
  <c r="O108" i="86"/>
  <c r="O107" i="86"/>
  <c r="O106" i="86"/>
  <c r="O105" i="86"/>
  <c r="O104" i="86"/>
  <c r="O103" i="86"/>
  <c r="O102" i="86"/>
  <c r="O101" i="86"/>
  <c r="O100" i="86"/>
  <c r="O99" i="86"/>
  <c r="O98" i="86"/>
  <c r="O97" i="86"/>
  <c r="O96" i="86"/>
  <c r="O95" i="86"/>
  <c r="O94" i="86"/>
  <c r="O93" i="86"/>
  <c r="O92" i="86"/>
  <c r="O91" i="86"/>
  <c r="O90" i="86"/>
  <c r="O89" i="86"/>
  <c r="O88" i="86"/>
  <c r="O87" i="86"/>
  <c r="O86" i="86"/>
  <c r="O85" i="86"/>
  <c r="O84" i="86"/>
  <c r="O83" i="86"/>
  <c r="O82" i="86"/>
  <c r="O81" i="86"/>
  <c r="O80" i="86"/>
  <c r="O79" i="86"/>
  <c r="O78" i="86"/>
  <c r="O77" i="86"/>
  <c r="O76" i="86"/>
  <c r="O75" i="86"/>
  <c r="O74" i="86"/>
  <c r="O73" i="86"/>
  <c r="O72" i="86"/>
  <c r="O71" i="86"/>
  <c r="O70" i="86"/>
  <c r="O69" i="86"/>
  <c r="O68" i="86"/>
  <c r="O67" i="86"/>
  <c r="O66" i="86"/>
  <c r="O65" i="86"/>
  <c r="O64" i="86"/>
  <c r="O63" i="86"/>
  <c r="O62" i="86"/>
  <c r="O61" i="86"/>
  <c r="O60" i="86"/>
  <c r="O59" i="86"/>
  <c r="O58" i="86"/>
  <c r="O57" i="86"/>
  <c r="O56" i="86"/>
  <c r="O55" i="86"/>
  <c r="O54" i="86"/>
  <c r="O53" i="86"/>
  <c r="O52" i="86"/>
  <c r="O51" i="86"/>
  <c r="O50" i="86"/>
  <c r="O49" i="86"/>
  <c r="O48" i="86"/>
  <c r="O47" i="86"/>
  <c r="O46" i="86"/>
  <c r="O45" i="86"/>
  <c r="O44" i="86"/>
  <c r="O43" i="86"/>
  <c r="O42" i="86"/>
  <c r="O41" i="86"/>
  <c r="O40" i="86"/>
  <c r="O39" i="86"/>
  <c r="O38" i="86"/>
  <c r="O37" i="86"/>
  <c r="O36" i="86"/>
  <c r="O35" i="86"/>
  <c r="O34" i="86"/>
  <c r="O33" i="86"/>
  <c r="O32" i="86"/>
  <c r="O31" i="86"/>
  <c r="O30" i="86"/>
  <c r="O29" i="86"/>
  <c r="O28" i="86"/>
  <c r="O27" i="86"/>
  <c r="E27" i="86"/>
  <c r="O26" i="86"/>
  <c r="E26" i="86"/>
  <c r="E30" i="86" s="1"/>
  <c r="O25" i="86"/>
  <c r="F25" i="86"/>
  <c r="O24" i="86"/>
  <c r="O23" i="86"/>
  <c r="O22" i="86"/>
  <c r="O21" i="86"/>
  <c r="O20" i="86"/>
  <c r="O19" i="86"/>
  <c r="O18" i="86"/>
  <c r="O17" i="86"/>
  <c r="B17" i="86"/>
  <c r="O16" i="86"/>
  <c r="B16" i="86"/>
  <c r="O15" i="86"/>
  <c r="O14" i="86"/>
  <c r="O13" i="86"/>
  <c r="O12" i="86"/>
  <c r="B12" i="86"/>
  <c r="U11" i="86" s="1"/>
  <c r="V11" i="86" s="1"/>
  <c r="O11" i="86"/>
  <c r="B11" i="86"/>
  <c r="B37" i="86" s="1"/>
  <c r="O10" i="86"/>
  <c r="B10" i="86"/>
  <c r="O9" i="86"/>
  <c r="B9" i="86"/>
  <c r="O8" i="86"/>
  <c r="O7" i="86"/>
  <c r="O6" i="86"/>
  <c r="O5" i="86"/>
  <c r="O4" i="86"/>
  <c r="O3" i="86"/>
  <c r="G123" i="45"/>
  <c r="G122" i="45"/>
  <c r="G120" i="45"/>
  <c r="G119" i="45"/>
  <c r="G118" i="45"/>
  <c r="O252" i="45"/>
  <c r="O251" i="45"/>
  <c r="O250" i="45"/>
  <c r="O249" i="45"/>
  <c r="O248" i="45"/>
  <c r="O247" i="45"/>
  <c r="O246" i="45"/>
  <c r="O245" i="45"/>
  <c r="O244" i="45"/>
  <c r="O243" i="45"/>
  <c r="O242" i="45"/>
  <c r="O241" i="45"/>
  <c r="O240" i="45"/>
  <c r="O239" i="45"/>
  <c r="O238" i="45"/>
  <c r="O237" i="45"/>
  <c r="O236" i="45"/>
  <c r="O235" i="45"/>
  <c r="O234" i="45"/>
  <c r="O233" i="45"/>
  <c r="O232" i="45"/>
  <c r="O231" i="45"/>
  <c r="O230" i="45"/>
  <c r="O229" i="45"/>
  <c r="O228" i="45"/>
  <c r="O227" i="45"/>
  <c r="O226" i="45"/>
  <c r="O225" i="45"/>
  <c r="O224" i="45"/>
  <c r="O223" i="45"/>
  <c r="O222" i="45"/>
  <c r="O221" i="45"/>
  <c r="O220" i="45"/>
  <c r="O219" i="45"/>
  <c r="O218" i="45"/>
  <c r="O217" i="45"/>
  <c r="O216" i="45"/>
  <c r="O215" i="45"/>
  <c r="O214" i="45"/>
  <c r="O213" i="45"/>
  <c r="O212" i="45"/>
  <c r="O211" i="45"/>
  <c r="O210" i="45"/>
  <c r="O209" i="45"/>
  <c r="O208" i="45"/>
  <c r="O207" i="45"/>
  <c r="O206" i="45"/>
  <c r="O205" i="45"/>
  <c r="O204" i="45"/>
  <c r="O203" i="45"/>
  <c r="O202" i="45"/>
  <c r="O201" i="45"/>
  <c r="O200" i="45"/>
  <c r="O199" i="45"/>
  <c r="O198" i="45"/>
  <c r="O197" i="45"/>
  <c r="O196" i="45"/>
  <c r="O195" i="45"/>
  <c r="O194" i="45"/>
  <c r="O193" i="45"/>
  <c r="O192" i="45"/>
  <c r="O191" i="45"/>
  <c r="O190" i="45"/>
  <c r="O189" i="45"/>
  <c r="O188" i="45"/>
  <c r="O187" i="45"/>
  <c r="O186" i="45"/>
  <c r="O185" i="45"/>
  <c r="O184" i="45"/>
  <c r="O183" i="45"/>
  <c r="O182" i="45"/>
  <c r="O181" i="45"/>
  <c r="O180" i="45"/>
  <c r="O179" i="45"/>
  <c r="O178" i="45"/>
  <c r="O177" i="45"/>
  <c r="O176" i="45"/>
  <c r="O175" i="45"/>
  <c r="O174" i="45"/>
  <c r="O173" i="45"/>
  <c r="O172" i="45"/>
  <c r="O171" i="45"/>
  <c r="O170" i="45"/>
  <c r="O169" i="45"/>
  <c r="O168" i="45"/>
  <c r="O167" i="45"/>
  <c r="O166" i="45"/>
  <c r="O165" i="45"/>
  <c r="O164" i="45"/>
  <c r="O163" i="45"/>
  <c r="O162" i="45"/>
  <c r="O161" i="45"/>
  <c r="O160" i="45"/>
  <c r="O159" i="45"/>
  <c r="O158" i="45"/>
  <c r="O157" i="45"/>
  <c r="O156" i="45"/>
  <c r="O155" i="45"/>
  <c r="O154" i="45"/>
  <c r="O153" i="45"/>
  <c r="O152" i="45"/>
  <c r="O151" i="45"/>
  <c r="O150" i="45"/>
  <c r="O149" i="45"/>
  <c r="O148" i="45"/>
  <c r="O147" i="45"/>
  <c r="O146" i="45"/>
  <c r="O145" i="45"/>
  <c r="O144" i="45"/>
  <c r="O143" i="45"/>
  <c r="O142" i="45"/>
  <c r="O141" i="45"/>
  <c r="O140" i="45"/>
  <c r="O139" i="45"/>
  <c r="O138" i="45"/>
  <c r="O137" i="45"/>
  <c r="O136" i="45"/>
  <c r="O135" i="45"/>
  <c r="O134" i="45"/>
  <c r="O133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O4" i="45"/>
  <c r="O3" i="45"/>
  <c r="B17" i="45"/>
  <c r="B16" i="45"/>
  <c r="B12" i="45"/>
  <c r="U11" i="45" s="1"/>
  <c r="V11" i="45" s="1"/>
  <c r="B11" i="45"/>
  <c r="B37" i="45" s="1"/>
  <c r="B10" i="45"/>
  <c r="B9" i="45"/>
  <c r="J120" i="45" s="1"/>
  <c r="G123" i="44"/>
  <c r="G122" i="44"/>
  <c r="G120" i="44"/>
  <c r="G119" i="44"/>
  <c r="G118" i="44"/>
  <c r="B36" i="87" l="1"/>
  <c r="B19" i="88"/>
  <c r="B20" i="89"/>
  <c r="F90" i="89"/>
  <c r="G90" i="89" s="1"/>
  <c r="F84" i="96"/>
  <c r="G84" i="96" s="1"/>
  <c r="C22" i="99"/>
  <c r="E30" i="100"/>
  <c r="B21" i="108"/>
  <c r="E31" i="108"/>
  <c r="E31" i="109"/>
  <c r="F27" i="110"/>
  <c r="E31" i="113"/>
  <c r="F28" i="115"/>
  <c r="B36" i="117"/>
  <c r="F28" i="117"/>
  <c r="E31" i="118"/>
  <c r="F104" i="45"/>
  <c r="G104" i="45" s="1"/>
  <c r="F110" i="89"/>
  <c r="G110" i="89" s="1"/>
  <c r="F27" i="102"/>
  <c r="B19" i="110"/>
  <c r="F28" i="119"/>
  <c r="B36" i="88"/>
  <c r="C22" i="89"/>
  <c r="U9" i="89" s="1"/>
  <c r="V9" i="89" s="1"/>
  <c r="F28" i="89"/>
  <c r="F28" i="90"/>
  <c r="E31" i="91"/>
  <c r="F28" i="96"/>
  <c r="F28" i="97"/>
  <c r="F28" i="98"/>
  <c r="E30" i="99"/>
  <c r="F28" i="102"/>
  <c r="E30" i="104"/>
  <c r="B36" i="105"/>
  <c r="F28" i="105"/>
  <c r="F28" i="106"/>
  <c r="E31" i="106"/>
  <c r="E31" i="107"/>
  <c r="B22" i="118"/>
  <c r="B26" i="120"/>
  <c r="B27" i="122"/>
  <c r="B28" i="122"/>
  <c r="B26" i="122"/>
  <c r="B29" i="122"/>
  <c r="B27" i="121"/>
  <c r="B28" i="121"/>
  <c r="B26" i="121"/>
  <c r="B29" i="121"/>
  <c r="B27" i="120"/>
  <c r="B28" i="120"/>
  <c r="B29" i="120"/>
  <c r="F99" i="97"/>
  <c r="G99" i="97" s="1"/>
  <c r="F92" i="97"/>
  <c r="G92" i="97" s="1"/>
  <c r="F106" i="97"/>
  <c r="G106" i="97" s="1"/>
  <c r="F68" i="95"/>
  <c r="G68" i="95" s="1"/>
  <c r="B36" i="95"/>
  <c r="B21" i="119"/>
  <c r="B36" i="119"/>
  <c r="U14" i="119" s="1"/>
  <c r="H57" i="119"/>
  <c r="U5" i="119"/>
  <c r="V5" i="119" s="1"/>
  <c r="R25" i="119"/>
  <c r="B20" i="119"/>
  <c r="B19" i="119"/>
  <c r="B36" i="118"/>
  <c r="B21" i="118"/>
  <c r="F57" i="118" s="1"/>
  <c r="H57" i="118"/>
  <c r="U5" i="118"/>
  <c r="V5" i="118" s="1"/>
  <c r="R27" i="118"/>
  <c r="B30" i="118" s="1"/>
  <c r="B20" i="118"/>
  <c r="B19" i="118"/>
  <c r="C22" i="118"/>
  <c r="B19" i="117"/>
  <c r="R25" i="117"/>
  <c r="B22" i="117"/>
  <c r="B20" i="116"/>
  <c r="F68" i="116"/>
  <c r="G68" i="116" s="1"/>
  <c r="B37" i="116"/>
  <c r="B38" i="116" s="1"/>
  <c r="R27" i="116"/>
  <c r="B30" i="116" s="1"/>
  <c r="B19" i="116"/>
  <c r="B19" i="115"/>
  <c r="B36" i="115"/>
  <c r="U14" i="115" s="1"/>
  <c r="B21" i="115"/>
  <c r="R25" i="113"/>
  <c r="B36" i="113"/>
  <c r="B38" i="113" s="1"/>
  <c r="I58" i="112"/>
  <c r="U9" i="112"/>
  <c r="V9" i="112" s="1"/>
  <c r="B36" i="112"/>
  <c r="B20" i="112"/>
  <c r="R27" i="112"/>
  <c r="B30" i="112" s="1"/>
  <c r="B38" i="112"/>
  <c r="U34" i="112" s="1"/>
  <c r="B21" i="112"/>
  <c r="B36" i="111"/>
  <c r="B38" i="111" s="1"/>
  <c r="B19" i="111"/>
  <c r="R27" i="111"/>
  <c r="B30" i="111" s="1"/>
  <c r="B36" i="110"/>
  <c r="U14" i="110" s="1"/>
  <c r="R25" i="110"/>
  <c r="U5" i="110"/>
  <c r="V5" i="110" s="1"/>
  <c r="B21" i="110"/>
  <c r="F58" i="110" s="1"/>
  <c r="B20" i="109"/>
  <c r="R25" i="109"/>
  <c r="F64" i="109"/>
  <c r="G64" i="109" s="1"/>
  <c r="R27" i="108"/>
  <c r="B30" i="108" s="1"/>
  <c r="R25" i="108"/>
  <c r="B36" i="108"/>
  <c r="B38" i="108" s="1"/>
  <c r="F96" i="107"/>
  <c r="G96" i="107" s="1"/>
  <c r="C22" i="107"/>
  <c r="F66" i="107"/>
  <c r="G66" i="107" s="1"/>
  <c r="B36" i="107"/>
  <c r="R26" i="107"/>
  <c r="R27" i="106"/>
  <c r="B30" i="106" s="1"/>
  <c r="B19" i="106"/>
  <c r="B36" i="106"/>
  <c r="B21" i="106"/>
  <c r="B21" i="105"/>
  <c r="F93" i="105"/>
  <c r="G93" i="105" s="1"/>
  <c r="B38" i="105"/>
  <c r="X14" i="105" s="1"/>
  <c r="R27" i="105"/>
  <c r="B30" i="105" s="1"/>
  <c r="B22" i="104"/>
  <c r="U5" i="104" s="1"/>
  <c r="V5" i="104" s="1"/>
  <c r="F65" i="104"/>
  <c r="G65" i="104" s="1"/>
  <c r="R27" i="104"/>
  <c r="B30" i="104" s="1"/>
  <c r="B36" i="104"/>
  <c r="U14" i="104" s="1"/>
  <c r="B19" i="104"/>
  <c r="B37" i="104"/>
  <c r="R27" i="102"/>
  <c r="B30" i="102" s="1"/>
  <c r="B36" i="102"/>
  <c r="B38" i="102" s="1"/>
  <c r="F64" i="102"/>
  <c r="G64" i="102" s="1"/>
  <c r="C21" i="101"/>
  <c r="G58" i="101" s="1"/>
  <c r="F71" i="101"/>
  <c r="G71" i="101" s="1"/>
  <c r="F76" i="101"/>
  <c r="G76" i="101" s="1"/>
  <c r="F87" i="101"/>
  <c r="G87" i="101" s="1"/>
  <c r="B36" i="101"/>
  <c r="R26" i="101"/>
  <c r="B20" i="101"/>
  <c r="F74" i="101"/>
  <c r="G74" i="101" s="1"/>
  <c r="F95" i="101"/>
  <c r="G95" i="101" s="1"/>
  <c r="F106" i="101"/>
  <c r="G106" i="101" s="1"/>
  <c r="B38" i="100"/>
  <c r="U36" i="100" s="1"/>
  <c r="B22" i="100"/>
  <c r="C22" i="100"/>
  <c r="R26" i="100"/>
  <c r="R27" i="99"/>
  <c r="B30" i="99" s="1"/>
  <c r="B19" i="99"/>
  <c r="B36" i="99"/>
  <c r="U14" i="99" s="1"/>
  <c r="B22" i="99"/>
  <c r="F64" i="98"/>
  <c r="G64" i="98" s="1"/>
  <c r="C21" i="98"/>
  <c r="F108" i="97"/>
  <c r="G108" i="97" s="1"/>
  <c r="B20" i="97"/>
  <c r="F63" i="97"/>
  <c r="G63" i="97" s="1"/>
  <c r="F104" i="97"/>
  <c r="G104" i="97" s="1"/>
  <c r="F112" i="97"/>
  <c r="G112" i="97" s="1"/>
  <c r="R25" i="97"/>
  <c r="F67" i="97"/>
  <c r="G67" i="97" s="1"/>
  <c r="F110" i="97"/>
  <c r="G110" i="97" s="1"/>
  <c r="B19" i="96"/>
  <c r="R26" i="96"/>
  <c r="B38" i="96"/>
  <c r="X14" i="96" s="1"/>
  <c r="B20" i="93"/>
  <c r="R25" i="93"/>
  <c r="B21" i="93"/>
  <c r="B36" i="92"/>
  <c r="B38" i="92" s="1"/>
  <c r="B22" i="92"/>
  <c r="B23" i="92" s="1"/>
  <c r="R25" i="92"/>
  <c r="B19" i="92"/>
  <c r="B36" i="90"/>
  <c r="R26" i="95"/>
  <c r="F88" i="95"/>
  <c r="G88" i="95" s="1"/>
  <c r="B20" i="95"/>
  <c r="B19" i="95"/>
  <c r="R25" i="89"/>
  <c r="F97" i="89"/>
  <c r="G97" i="89" s="1"/>
  <c r="B37" i="89"/>
  <c r="F82" i="89"/>
  <c r="G82" i="89" s="1"/>
  <c r="F112" i="89"/>
  <c r="G112" i="89" s="1"/>
  <c r="F66" i="89"/>
  <c r="G66" i="89" s="1"/>
  <c r="F98" i="89"/>
  <c r="G98" i="89" s="1"/>
  <c r="F108" i="89"/>
  <c r="G108" i="89" s="1"/>
  <c r="B20" i="88"/>
  <c r="R25" i="88"/>
  <c r="B22" i="88"/>
  <c r="B21" i="87"/>
  <c r="B36" i="86"/>
  <c r="F58" i="119"/>
  <c r="F57" i="119"/>
  <c r="U3" i="119"/>
  <c r="V3" i="119" s="1"/>
  <c r="I120" i="119"/>
  <c r="J120" i="119"/>
  <c r="B13" i="119" s="1"/>
  <c r="F113" i="119"/>
  <c r="G113" i="119" s="1"/>
  <c r="F109" i="119"/>
  <c r="G109" i="119" s="1"/>
  <c r="F105" i="119"/>
  <c r="G105" i="119" s="1"/>
  <c r="F101" i="119"/>
  <c r="G101" i="119" s="1"/>
  <c r="F95" i="119"/>
  <c r="G95" i="119" s="1"/>
  <c r="F91" i="119"/>
  <c r="G91" i="119" s="1"/>
  <c r="F87" i="119"/>
  <c r="G87" i="119" s="1"/>
  <c r="F83" i="119"/>
  <c r="G83" i="119" s="1"/>
  <c r="F79" i="119"/>
  <c r="G79" i="119" s="1"/>
  <c r="F75" i="119"/>
  <c r="G75" i="119" s="1"/>
  <c r="F71" i="119"/>
  <c r="G71" i="119" s="1"/>
  <c r="F111" i="119"/>
  <c r="G111" i="119" s="1"/>
  <c r="F107" i="119"/>
  <c r="G107" i="119" s="1"/>
  <c r="F103" i="119"/>
  <c r="G103" i="119" s="1"/>
  <c r="F99" i="119"/>
  <c r="G99" i="119" s="1"/>
  <c r="F97" i="119"/>
  <c r="G97" i="119" s="1"/>
  <c r="F93" i="119"/>
  <c r="G93" i="119" s="1"/>
  <c r="F112" i="119"/>
  <c r="G112" i="119" s="1"/>
  <c r="F108" i="119"/>
  <c r="G108" i="119" s="1"/>
  <c r="F104" i="119"/>
  <c r="G104" i="119" s="1"/>
  <c r="F100" i="119"/>
  <c r="G100" i="119" s="1"/>
  <c r="F96" i="119"/>
  <c r="G96" i="119" s="1"/>
  <c r="F92" i="119"/>
  <c r="G92" i="119" s="1"/>
  <c r="F88" i="119"/>
  <c r="G88" i="119" s="1"/>
  <c r="F90" i="119"/>
  <c r="G90" i="119" s="1"/>
  <c r="F86" i="119"/>
  <c r="G86" i="119" s="1"/>
  <c r="F84" i="119"/>
  <c r="G84" i="119" s="1"/>
  <c r="F80" i="119"/>
  <c r="G80" i="119" s="1"/>
  <c r="F76" i="119"/>
  <c r="G76" i="119" s="1"/>
  <c r="F72" i="119"/>
  <c r="G72" i="119" s="1"/>
  <c r="F68" i="119"/>
  <c r="G68" i="119" s="1"/>
  <c r="F67" i="119"/>
  <c r="G67" i="119" s="1"/>
  <c r="F63" i="119"/>
  <c r="G63" i="119" s="1"/>
  <c r="F110" i="119"/>
  <c r="G110" i="119" s="1"/>
  <c r="F102" i="119"/>
  <c r="G102" i="119" s="1"/>
  <c r="F82" i="119"/>
  <c r="G82" i="119" s="1"/>
  <c r="F81" i="119"/>
  <c r="G81" i="119" s="1"/>
  <c r="F78" i="119"/>
  <c r="G78" i="119" s="1"/>
  <c r="F77" i="119"/>
  <c r="G77" i="119" s="1"/>
  <c r="F74" i="119"/>
  <c r="G74" i="119" s="1"/>
  <c r="F73" i="119"/>
  <c r="G73" i="119" s="1"/>
  <c r="F70" i="119"/>
  <c r="G70" i="119" s="1"/>
  <c r="F69" i="119"/>
  <c r="G69" i="119" s="1"/>
  <c r="F66" i="119"/>
  <c r="G66" i="119" s="1"/>
  <c r="C22" i="119"/>
  <c r="F89" i="119"/>
  <c r="G89" i="119" s="1"/>
  <c r="F85" i="119"/>
  <c r="G85" i="119" s="1"/>
  <c r="F106" i="119"/>
  <c r="G106" i="119" s="1"/>
  <c r="F98" i="119"/>
  <c r="G98" i="119" s="1"/>
  <c r="F94" i="119"/>
  <c r="G94" i="119" s="1"/>
  <c r="B18" i="119"/>
  <c r="C21" i="119"/>
  <c r="B37" i="119"/>
  <c r="B38" i="119" s="1"/>
  <c r="U28" i="119" s="1"/>
  <c r="H58" i="119"/>
  <c r="F64" i="119"/>
  <c r="G64" i="119" s="1"/>
  <c r="B23" i="119"/>
  <c r="R27" i="119"/>
  <c r="B30" i="119" s="1"/>
  <c r="F65" i="119"/>
  <c r="G65" i="119" s="1"/>
  <c r="R26" i="119"/>
  <c r="J122" i="119"/>
  <c r="I122" i="119"/>
  <c r="F27" i="119"/>
  <c r="E30" i="119"/>
  <c r="F58" i="118"/>
  <c r="U14" i="118"/>
  <c r="I58" i="118"/>
  <c r="U9" i="118"/>
  <c r="V9" i="118" s="1"/>
  <c r="I57" i="118"/>
  <c r="B38" i="118"/>
  <c r="X14" i="118" s="1"/>
  <c r="H58" i="118"/>
  <c r="R25" i="118"/>
  <c r="F27" i="118"/>
  <c r="E30" i="118"/>
  <c r="B23" i="118"/>
  <c r="I120" i="118"/>
  <c r="I123" i="118" s="1"/>
  <c r="J120" i="118"/>
  <c r="F113" i="118"/>
  <c r="G113" i="118" s="1"/>
  <c r="F109" i="118"/>
  <c r="G109" i="118" s="1"/>
  <c r="F105" i="118"/>
  <c r="G105" i="118" s="1"/>
  <c r="F101" i="118"/>
  <c r="G101" i="118" s="1"/>
  <c r="F95" i="118"/>
  <c r="G95" i="118" s="1"/>
  <c r="F91" i="118"/>
  <c r="G91" i="118" s="1"/>
  <c r="F87" i="118"/>
  <c r="G87" i="118" s="1"/>
  <c r="F83" i="118"/>
  <c r="G83" i="118" s="1"/>
  <c r="F79" i="118"/>
  <c r="G79" i="118" s="1"/>
  <c r="F75" i="118"/>
  <c r="G75" i="118" s="1"/>
  <c r="F71" i="118"/>
  <c r="G71" i="118" s="1"/>
  <c r="F111" i="118"/>
  <c r="G111" i="118" s="1"/>
  <c r="F107" i="118"/>
  <c r="G107" i="118" s="1"/>
  <c r="F103" i="118"/>
  <c r="G103" i="118" s="1"/>
  <c r="F99" i="118"/>
  <c r="G99" i="118" s="1"/>
  <c r="F97" i="118"/>
  <c r="G97" i="118" s="1"/>
  <c r="F94" i="118"/>
  <c r="G94" i="118" s="1"/>
  <c r="F93" i="118"/>
  <c r="G93" i="118" s="1"/>
  <c r="F90" i="118"/>
  <c r="G90" i="118" s="1"/>
  <c r="F89" i="118"/>
  <c r="G89" i="118" s="1"/>
  <c r="F86" i="118"/>
  <c r="G86" i="118" s="1"/>
  <c r="F85" i="118"/>
  <c r="G85" i="118" s="1"/>
  <c r="F82" i="118"/>
  <c r="G82" i="118" s="1"/>
  <c r="F81" i="118"/>
  <c r="G81" i="118" s="1"/>
  <c r="F78" i="118"/>
  <c r="G78" i="118" s="1"/>
  <c r="F77" i="118"/>
  <c r="G77" i="118" s="1"/>
  <c r="F74" i="118"/>
  <c r="G74" i="118" s="1"/>
  <c r="F73" i="118"/>
  <c r="G73" i="118" s="1"/>
  <c r="F70" i="118"/>
  <c r="G70" i="118" s="1"/>
  <c r="F69" i="118"/>
  <c r="G69" i="118" s="1"/>
  <c r="F66" i="118"/>
  <c r="G66" i="118" s="1"/>
  <c r="F96" i="118"/>
  <c r="G96" i="118" s="1"/>
  <c r="F65" i="118"/>
  <c r="G65" i="118" s="1"/>
  <c r="F112" i="118"/>
  <c r="G112" i="118" s="1"/>
  <c r="F110" i="118"/>
  <c r="G110" i="118" s="1"/>
  <c r="F108" i="118"/>
  <c r="G108" i="118" s="1"/>
  <c r="F106" i="118"/>
  <c r="G106" i="118" s="1"/>
  <c r="F104" i="118"/>
  <c r="G104" i="118" s="1"/>
  <c r="F102" i="118"/>
  <c r="G102" i="118" s="1"/>
  <c r="F100" i="118"/>
  <c r="G100" i="118" s="1"/>
  <c r="F98" i="118"/>
  <c r="G98" i="118" s="1"/>
  <c r="F92" i="118"/>
  <c r="G92" i="118" s="1"/>
  <c r="F88" i="118"/>
  <c r="G88" i="118" s="1"/>
  <c r="F84" i="118"/>
  <c r="G84" i="118" s="1"/>
  <c r="F80" i="118"/>
  <c r="G80" i="118" s="1"/>
  <c r="F76" i="118"/>
  <c r="G76" i="118" s="1"/>
  <c r="F72" i="118"/>
  <c r="G72" i="118" s="1"/>
  <c r="F68" i="118"/>
  <c r="G68" i="118" s="1"/>
  <c r="F67" i="118"/>
  <c r="G67" i="118" s="1"/>
  <c r="F63" i="118"/>
  <c r="G63" i="118" s="1"/>
  <c r="B18" i="118"/>
  <c r="C21" i="118"/>
  <c r="R26" i="118"/>
  <c r="F64" i="118"/>
  <c r="G64" i="118" s="1"/>
  <c r="J123" i="118"/>
  <c r="J122" i="118"/>
  <c r="B38" i="117"/>
  <c r="X14" i="117" s="1"/>
  <c r="H58" i="117"/>
  <c r="U5" i="117"/>
  <c r="V5" i="117" s="1"/>
  <c r="H57" i="117"/>
  <c r="B23" i="117"/>
  <c r="U14" i="117"/>
  <c r="U38" i="117"/>
  <c r="B21" i="117"/>
  <c r="F63" i="117"/>
  <c r="G63" i="117" s="1"/>
  <c r="F103" i="117"/>
  <c r="G103" i="117" s="1"/>
  <c r="F106" i="117"/>
  <c r="G106" i="117" s="1"/>
  <c r="I120" i="117"/>
  <c r="J120" i="117"/>
  <c r="B13" i="117" s="1"/>
  <c r="F113" i="117"/>
  <c r="G113" i="117" s="1"/>
  <c r="F109" i="117"/>
  <c r="G109" i="117" s="1"/>
  <c r="F105" i="117"/>
  <c r="G105" i="117" s="1"/>
  <c r="F101" i="117"/>
  <c r="G101" i="117" s="1"/>
  <c r="F95" i="117"/>
  <c r="G95" i="117" s="1"/>
  <c r="F91" i="117"/>
  <c r="G91" i="117" s="1"/>
  <c r="F87" i="117"/>
  <c r="G87" i="117" s="1"/>
  <c r="F83" i="117"/>
  <c r="G83" i="117" s="1"/>
  <c r="F79" i="117"/>
  <c r="G79" i="117" s="1"/>
  <c r="F75" i="117"/>
  <c r="G75" i="117" s="1"/>
  <c r="F71" i="117"/>
  <c r="G71" i="117" s="1"/>
  <c r="F111" i="117"/>
  <c r="G111" i="117" s="1"/>
  <c r="F107" i="117"/>
  <c r="G107" i="117" s="1"/>
  <c r="F112" i="117"/>
  <c r="G112" i="117" s="1"/>
  <c r="F108" i="117"/>
  <c r="G108" i="117" s="1"/>
  <c r="F104" i="117"/>
  <c r="G104" i="117" s="1"/>
  <c r="F100" i="117"/>
  <c r="G100" i="117" s="1"/>
  <c r="F98" i="117"/>
  <c r="G98" i="117" s="1"/>
  <c r="F97" i="117"/>
  <c r="G97" i="117" s="1"/>
  <c r="F94" i="117"/>
  <c r="G94" i="117" s="1"/>
  <c r="F93" i="117"/>
  <c r="G93" i="117" s="1"/>
  <c r="F90" i="117"/>
  <c r="G90" i="117" s="1"/>
  <c r="F89" i="117"/>
  <c r="G89" i="117" s="1"/>
  <c r="F86" i="117"/>
  <c r="G86" i="117" s="1"/>
  <c r="F85" i="117"/>
  <c r="G85" i="117" s="1"/>
  <c r="F82" i="117"/>
  <c r="G82" i="117" s="1"/>
  <c r="F81" i="117"/>
  <c r="G81" i="117" s="1"/>
  <c r="F78" i="117"/>
  <c r="G78" i="117" s="1"/>
  <c r="F77" i="117"/>
  <c r="G77" i="117" s="1"/>
  <c r="F74" i="117"/>
  <c r="G74" i="117" s="1"/>
  <c r="F73" i="117"/>
  <c r="G73" i="117" s="1"/>
  <c r="F70" i="117"/>
  <c r="G70" i="117" s="1"/>
  <c r="F69" i="117"/>
  <c r="G69" i="117" s="1"/>
  <c r="F66" i="117"/>
  <c r="G66" i="117" s="1"/>
  <c r="F110" i="117"/>
  <c r="G110" i="117" s="1"/>
  <c r="F64" i="117"/>
  <c r="G64" i="117" s="1"/>
  <c r="B18" i="117"/>
  <c r="C21" i="117"/>
  <c r="R26" i="117"/>
  <c r="R27" i="117"/>
  <c r="B30" i="117" s="1"/>
  <c r="F65" i="117"/>
  <c r="G65" i="117" s="1"/>
  <c r="F67" i="117"/>
  <c r="G67" i="117" s="1"/>
  <c r="F68" i="117"/>
  <c r="G68" i="117" s="1"/>
  <c r="F72" i="117"/>
  <c r="G72" i="117" s="1"/>
  <c r="F76" i="117"/>
  <c r="G76" i="117" s="1"/>
  <c r="F80" i="117"/>
  <c r="G80" i="117" s="1"/>
  <c r="F84" i="117"/>
  <c r="G84" i="117" s="1"/>
  <c r="F88" i="117"/>
  <c r="G88" i="117" s="1"/>
  <c r="F92" i="117"/>
  <c r="G92" i="117" s="1"/>
  <c r="F99" i="117"/>
  <c r="G99" i="117" s="1"/>
  <c r="F102" i="117"/>
  <c r="G102" i="117" s="1"/>
  <c r="B20" i="117"/>
  <c r="C22" i="117"/>
  <c r="F27" i="117"/>
  <c r="E30" i="117"/>
  <c r="F96" i="117"/>
  <c r="G96" i="117" s="1"/>
  <c r="J122" i="117"/>
  <c r="U5" i="116"/>
  <c r="V5" i="116" s="1"/>
  <c r="H57" i="116"/>
  <c r="B23" i="116"/>
  <c r="H58" i="116"/>
  <c r="U34" i="116"/>
  <c r="U23" i="116"/>
  <c r="U17" i="116"/>
  <c r="U33" i="116"/>
  <c r="U32" i="116"/>
  <c r="U25" i="116"/>
  <c r="U19" i="116"/>
  <c r="X14" i="116"/>
  <c r="U16" i="116"/>
  <c r="U18" i="116"/>
  <c r="U21" i="116"/>
  <c r="C22" i="116"/>
  <c r="R25" i="116"/>
  <c r="E31" i="116"/>
  <c r="E30" i="116"/>
  <c r="F27" i="116"/>
  <c r="U29" i="116"/>
  <c r="U31" i="116"/>
  <c r="F63" i="116"/>
  <c r="G63" i="116" s="1"/>
  <c r="F67" i="116"/>
  <c r="G67" i="116" s="1"/>
  <c r="B21" i="116"/>
  <c r="U37" i="116"/>
  <c r="I120" i="116"/>
  <c r="I123" i="116" s="1"/>
  <c r="J120" i="116"/>
  <c r="B13" i="116" s="1"/>
  <c r="U15" i="116"/>
  <c r="F113" i="116"/>
  <c r="G113" i="116" s="1"/>
  <c r="F109" i="116"/>
  <c r="G109" i="116" s="1"/>
  <c r="F105" i="116"/>
  <c r="G105" i="116" s="1"/>
  <c r="F101" i="116"/>
  <c r="G101" i="116" s="1"/>
  <c r="F95" i="116"/>
  <c r="G95" i="116" s="1"/>
  <c r="F91" i="116"/>
  <c r="G91" i="116" s="1"/>
  <c r="F87" i="116"/>
  <c r="G87" i="116" s="1"/>
  <c r="F83" i="116"/>
  <c r="G83" i="116" s="1"/>
  <c r="F79" i="116"/>
  <c r="G79" i="116" s="1"/>
  <c r="F75" i="116"/>
  <c r="G75" i="116" s="1"/>
  <c r="F71" i="116"/>
  <c r="G71" i="116" s="1"/>
  <c r="F111" i="116"/>
  <c r="G111" i="116" s="1"/>
  <c r="F107" i="116"/>
  <c r="G107" i="116" s="1"/>
  <c r="F103" i="116"/>
  <c r="G103" i="116" s="1"/>
  <c r="F99" i="116"/>
  <c r="G99" i="116" s="1"/>
  <c r="F97" i="116"/>
  <c r="G97" i="116" s="1"/>
  <c r="F93" i="116"/>
  <c r="G93" i="116" s="1"/>
  <c r="F112" i="116"/>
  <c r="G112" i="116" s="1"/>
  <c r="F108" i="116"/>
  <c r="G108" i="116" s="1"/>
  <c r="F104" i="116"/>
  <c r="G104" i="116" s="1"/>
  <c r="F102" i="116"/>
  <c r="G102" i="116" s="1"/>
  <c r="F100" i="116"/>
  <c r="G100" i="116" s="1"/>
  <c r="F98" i="116"/>
  <c r="G98" i="116" s="1"/>
  <c r="F94" i="116"/>
  <c r="G94" i="116" s="1"/>
  <c r="F90" i="116"/>
  <c r="G90" i="116" s="1"/>
  <c r="F65" i="116"/>
  <c r="G65" i="116" s="1"/>
  <c r="F110" i="116"/>
  <c r="G110" i="116" s="1"/>
  <c r="F96" i="116"/>
  <c r="G96" i="116" s="1"/>
  <c r="F92" i="116"/>
  <c r="G92" i="116" s="1"/>
  <c r="F88" i="116"/>
  <c r="G88" i="116" s="1"/>
  <c r="F84" i="116"/>
  <c r="G84" i="116" s="1"/>
  <c r="F80" i="116"/>
  <c r="G80" i="116" s="1"/>
  <c r="F76" i="116"/>
  <c r="G76" i="116" s="1"/>
  <c r="F72" i="116"/>
  <c r="G72" i="116" s="1"/>
  <c r="F106" i="116"/>
  <c r="G106" i="116" s="1"/>
  <c r="F89" i="116"/>
  <c r="G89" i="116" s="1"/>
  <c r="F86" i="116"/>
  <c r="G86" i="116" s="1"/>
  <c r="F85" i="116"/>
  <c r="G85" i="116" s="1"/>
  <c r="F82" i="116"/>
  <c r="G82" i="116" s="1"/>
  <c r="F81" i="116"/>
  <c r="G81" i="116" s="1"/>
  <c r="F78" i="116"/>
  <c r="G78" i="116" s="1"/>
  <c r="F77" i="116"/>
  <c r="G77" i="116" s="1"/>
  <c r="F74" i="116"/>
  <c r="G74" i="116" s="1"/>
  <c r="F73" i="116"/>
  <c r="G73" i="116" s="1"/>
  <c r="F70" i="116"/>
  <c r="G70" i="116" s="1"/>
  <c r="F69" i="116"/>
  <c r="G69" i="116" s="1"/>
  <c r="F66" i="116"/>
  <c r="G66" i="116" s="1"/>
  <c r="B18" i="116"/>
  <c r="U20" i="116"/>
  <c r="C21" i="116"/>
  <c r="U22" i="116"/>
  <c r="R26" i="116"/>
  <c r="U28" i="116"/>
  <c r="U30" i="116"/>
  <c r="F64" i="116"/>
  <c r="G64" i="116" s="1"/>
  <c r="T46" i="116"/>
  <c r="U24" i="116"/>
  <c r="U26" i="116"/>
  <c r="U27" i="116"/>
  <c r="U35" i="116"/>
  <c r="U36" i="116"/>
  <c r="U38" i="116"/>
  <c r="U39" i="116"/>
  <c r="T47" i="116"/>
  <c r="J123" i="116"/>
  <c r="I122" i="116"/>
  <c r="J122" i="116"/>
  <c r="F58" i="115"/>
  <c r="F57" i="115"/>
  <c r="U3" i="115"/>
  <c r="V3" i="115" s="1"/>
  <c r="I120" i="115"/>
  <c r="J120" i="115"/>
  <c r="F113" i="115"/>
  <c r="G113" i="115" s="1"/>
  <c r="F109" i="115"/>
  <c r="G109" i="115" s="1"/>
  <c r="F110" i="115"/>
  <c r="G110" i="115" s="1"/>
  <c r="F106" i="115"/>
  <c r="G106" i="115" s="1"/>
  <c r="F102" i="115"/>
  <c r="G102" i="115" s="1"/>
  <c r="F98" i="115"/>
  <c r="G98" i="115" s="1"/>
  <c r="F94" i="115"/>
  <c r="G94" i="115" s="1"/>
  <c r="F90" i="115"/>
  <c r="G90" i="115" s="1"/>
  <c r="F86" i="115"/>
  <c r="G86" i="115" s="1"/>
  <c r="F82" i="115"/>
  <c r="G82" i="115" s="1"/>
  <c r="F78" i="115"/>
  <c r="G78" i="115" s="1"/>
  <c r="F74" i="115"/>
  <c r="G74" i="115" s="1"/>
  <c r="F70" i="115"/>
  <c r="G70" i="115" s="1"/>
  <c r="F111" i="115"/>
  <c r="G111" i="115" s="1"/>
  <c r="F107" i="115"/>
  <c r="G107" i="115" s="1"/>
  <c r="F103" i="115"/>
  <c r="G103" i="115" s="1"/>
  <c r="F99" i="115"/>
  <c r="G99" i="115" s="1"/>
  <c r="F97" i="115"/>
  <c r="G97" i="115" s="1"/>
  <c r="F93" i="115"/>
  <c r="G93" i="115" s="1"/>
  <c r="F96" i="115"/>
  <c r="G96" i="115" s="1"/>
  <c r="F92" i="115"/>
  <c r="G92" i="115" s="1"/>
  <c r="F87" i="115"/>
  <c r="G87" i="115" s="1"/>
  <c r="F83" i="115"/>
  <c r="G83" i="115" s="1"/>
  <c r="F79" i="115"/>
  <c r="G79" i="115" s="1"/>
  <c r="F75" i="115"/>
  <c r="G75" i="115" s="1"/>
  <c r="F71" i="115"/>
  <c r="G71" i="115" s="1"/>
  <c r="F67" i="115"/>
  <c r="G67" i="115" s="1"/>
  <c r="F63" i="115"/>
  <c r="G63" i="115" s="1"/>
  <c r="F112" i="115"/>
  <c r="G112" i="115" s="1"/>
  <c r="F89" i="115"/>
  <c r="G89" i="115" s="1"/>
  <c r="F88" i="115"/>
  <c r="G88" i="115" s="1"/>
  <c r="F85" i="115"/>
  <c r="G85" i="115" s="1"/>
  <c r="F84" i="115"/>
  <c r="G84" i="115" s="1"/>
  <c r="F81" i="115"/>
  <c r="G81" i="115" s="1"/>
  <c r="F80" i="115"/>
  <c r="G80" i="115" s="1"/>
  <c r="F77" i="115"/>
  <c r="G77" i="115" s="1"/>
  <c r="F76" i="115"/>
  <c r="G76" i="115" s="1"/>
  <c r="F73" i="115"/>
  <c r="G73" i="115" s="1"/>
  <c r="F72" i="115"/>
  <c r="G72" i="115" s="1"/>
  <c r="F69" i="115"/>
  <c r="G69" i="115" s="1"/>
  <c r="F68" i="115"/>
  <c r="G68" i="115" s="1"/>
  <c r="F66" i="115"/>
  <c r="G66" i="115" s="1"/>
  <c r="F95" i="115"/>
  <c r="G95" i="115" s="1"/>
  <c r="F91" i="115"/>
  <c r="G91" i="115" s="1"/>
  <c r="F108" i="115"/>
  <c r="G108" i="115" s="1"/>
  <c r="F105" i="115"/>
  <c r="G105" i="115" s="1"/>
  <c r="F104" i="115"/>
  <c r="G104" i="115" s="1"/>
  <c r="F101" i="115"/>
  <c r="G101" i="115" s="1"/>
  <c r="F100" i="115"/>
  <c r="G100" i="115" s="1"/>
  <c r="F64" i="115"/>
  <c r="G64" i="115" s="1"/>
  <c r="B18" i="115"/>
  <c r="C21" i="115"/>
  <c r="E31" i="115"/>
  <c r="F65" i="115"/>
  <c r="G65" i="115" s="1"/>
  <c r="R25" i="115"/>
  <c r="R27" i="115"/>
  <c r="B30" i="115" s="1"/>
  <c r="B22" i="115"/>
  <c r="B20" i="115"/>
  <c r="C22" i="115"/>
  <c r="R26" i="115"/>
  <c r="F27" i="115"/>
  <c r="E30" i="115"/>
  <c r="U14" i="113"/>
  <c r="I120" i="113"/>
  <c r="J120" i="113"/>
  <c r="B13" i="113" s="1"/>
  <c r="F113" i="113"/>
  <c r="G113" i="113" s="1"/>
  <c r="F109" i="113"/>
  <c r="G109" i="113" s="1"/>
  <c r="F105" i="113"/>
  <c r="G105" i="113" s="1"/>
  <c r="F101" i="113"/>
  <c r="G101" i="113" s="1"/>
  <c r="F95" i="113"/>
  <c r="G95" i="113" s="1"/>
  <c r="F91" i="113"/>
  <c r="G91" i="113" s="1"/>
  <c r="F87" i="113"/>
  <c r="G87" i="113" s="1"/>
  <c r="F83" i="113"/>
  <c r="G83" i="113" s="1"/>
  <c r="F79" i="113"/>
  <c r="G79" i="113" s="1"/>
  <c r="F75" i="113"/>
  <c r="G75" i="113" s="1"/>
  <c r="F71" i="113"/>
  <c r="G71" i="113" s="1"/>
  <c r="F111" i="113"/>
  <c r="G111" i="113" s="1"/>
  <c r="F107" i="113"/>
  <c r="G107" i="113" s="1"/>
  <c r="F103" i="113"/>
  <c r="G103" i="113" s="1"/>
  <c r="F99" i="113"/>
  <c r="G99" i="113" s="1"/>
  <c r="F96" i="113"/>
  <c r="G96" i="113" s="1"/>
  <c r="F92" i="113"/>
  <c r="G92" i="113" s="1"/>
  <c r="F88" i="113"/>
  <c r="G88" i="113" s="1"/>
  <c r="F84" i="113"/>
  <c r="G84" i="113" s="1"/>
  <c r="F80" i="113"/>
  <c r="G80" i="113" s="1"/>
  <c r="F76" i="113"/>
  <c r="G76" i="113" s="1"/>
  <c r="F72" i="113"/>
  <c r="G72" i="113" s="1"/>
  <c r="F68" i="113"/>
  <c r="G68" i="113" s="1"/>
  <c r="F67" i="113"/>
  <c r="G67" i="113" s="1"/>
  <c r="F98" i="113"/>
  <c r="G98" i="113" s="1"/>
  <c r="F97" i="113"/>
  <c r="G97" i="113" s="1"/>
  <c r="F94" i="113"/>
  <c r="G94" i="113" s="1"/>
  <c r="F93" i="113"/>
  <c r="G93" i="113" s="1"/>
  <c r="F90" i="113"/>
  <c r="G90" i="113" s="1"/>
  <c r="F89" i="113"/>
  <c r="G89" i="113" s="1"/>
  <c r="F86" i="113"/>
  <c r="G86" i="113" s="1"/>
  <c r="F85" i="113"/>
  <c r="G85" i="113" s="1"/>
  <c r="F82" i="113"/>
  <c r="G82" i="113" s="1"/>
  <c r="F81" i="113"/>
  <c r="G81" i="113" s="1"/>
  <c r="F78" i="113"/>
  <c r="G78" i="113" s="1"/>
  <c r="F77" i="113"/>
  <c r="G77" i="113" s="1"/>
  <c r="F74" i="113"/>
  <c r="G74" i="113" s="1"/>
  <c r="F73" i="113"/>
  <c r="G73" i="113" s="1"/>
  <c r="F70" i="113"/>
  <c r="G70" i="113" s="1"/>
  <c r="F69" i="113"/>
  <c r="G69" i="113" s="1"/>
  <c r="F66" i="113"/>
  <c r="G66" i="113" s="1"/>
  <c r="F100" i="113"/>
  <c r="G100" i="113" s="1"/>
  <c r="B18" i="113"/>
  <c r="C21" i="113"/>
  <c r="R26" i="113"/>
  <c r="R27" i="113"/>
  <c r="B30" i="113" s="1"/>
  <c r="F102" i="113"/>
  <c r="G102" i="113" s="1"/>
  <c r="F104" i="113"/>
  <c r="G104" i="113" s="1"/>
  <c r="F106" i="113"/>
  <c r="G106" i="113" s="1"/>
  <c r="F108" i="113"/>
  <c r="G108" i="113" s="1"/>
  <c r="F110" i="113"/>
  <c r="G110" i="113" s="1"/>
  <c r="F112" i="113"/>
  <c r="G112" i="113" s="1"/>
  <c r="J123" i="113"/>
  <c r="B19" i="113"/>
  <c r="B22" i="113"/>
  <c r="F28" i="113"/>
  <c r="F63" i="113"/>
  <c r="G63" i="113" s="1"/>
  <c r="F65" i="113"/>
  <c r="G65" i="113" s="1"/>
  <c r="B20" i="113"/>
  <c r="C22" i="113"/>
  <c r="F27" i="113"/>
  <c r="E30" i="113"/>
  <c r="B21" i="113"/>
  <c r="F64" i="113"/>
  <c r="G64" i="113" s="1"/>
  <c r="I122" i="113"/>
  <c r="I123" i="113"/>
  <c r="J122" i="113"/>
  <c r="U21" i="112"/>
  <c r="U18" i="112"/>
  <c r="U16" i="112"/>
  <c r="X14" i="112"/>
  <c r="F57" i="112"/>
  <c r="F58" i="112"/>
  <c r="U3" i="112"/>
  <c r="V3" i="112" s="1"/>
  <c r="U14" i="112"/>
  <c r="U17" i="112"/>
  <c r="B19" i="112"/>
  <c r="B22" i="112"/>
  <c r="U23" i="112"/>
  <c r="U24" i="112"/>
  <c r="U26" i="112"/>
  <c r="U27" i="112"/>
  <c r="F28" i="112"/>
  <c r="U30" i="112"/>
  <c r="U31" i="112"/>
  <c r="F64" i="112"/>
  <c r="G64" i="112" s="1"/>
  <c r="R25" i="112"/>
  <c r="F27" i="112"/>
  <c r="U29" i="112"/>
  <c r="E30" i="112"/>
  <c r="U35" i="112"/>
  <c r="U19" i="112"/>
  <c r="U25" i="112"/>
  <c r="I57" i="112"/>
  <c r="I120" i="112"/>
  <c r="J120" i="112"/>
  <c r="B13" i="112" s="1"/>
  <c r="U36" i="112"/>
  <c r="U39" i="112"/>
  <c r="U38" i="112"/>
  <c r="U32" i="112"/>
  <c r="U15" i="112"/>
  <c r="F113" i="112"/>
  <c r="G113" i="112" s="1"/>
  <c r="F109" i="112"/>
  <c r="G109" i="112" s="1"/>
  <c r="F105" i="112"/>
  <c r="G105" i="112" s="1"/>
  <c r="F101" i="112"/>
  <c r="G101" i="112" s="1"/>
  <c r="F95" i="112"/>
  <c r="G95" i="112" s="1"/>
  <c r="F91" i="112"/>
  <c r="G91" i="112" s="1"/>
  <c r="F87" i="112"/>
  <c r="G87" i="112" s="1"/>
  <c r="F83" i="112"/>
  <c r="G83" i="112" s="1"/>
  <c r="F79" i="112"/>
  <c r="G79" i="112" s="1"/>
  <c r="F75" i="112"/>
  <c r="G75" i="112" s="1"/>
  <c r="F71" i="112"/>
  <c r="G71" i="112" s="1"/>
  <c r="F111" i="112"/>
  <c r="G111" i="112" s="1"/>
  <c r="F107" i="112"/>
  <c r="G107" i="112" s="1"/>
  <c r="F103" i="112"/>
  <c r="G103" i="112" s="1"/>
  <c r="F99" i="112"/>
  <c r="G99" i="112" s="1"/>
  <c r="F97" i="112"/>
  <c r="G97" i="112" s="1"/>
  <c r="F112" i="112"/>
  <c r="G112" i="112" s="1"/>
  <c r="F108" i="112"/>
  <c r="G108" i="112" s="1"/>
  <c r="F104" i="112"/>
  <c r="G104" i="112" s="1"/>
  <c r="F94" i="112"/>
  <c r="G94" i="112" s="1"/>
  <c r="F93" i="112"/>
  <c r="G93" i="112" s="1"/>
  <c r="F90" i="112"/>
  <c r="G90" i="112" s="1"/>
  <c r="F89" i="112"/>
  <c r="G89" i="112" s="1"/>
  <c r="F86" i="112"/>
  <c r="G86" i="112" s="1"/>
  <c r="F85" i="112"/>
  <c r="G85" i="112" s="1"/>
  <c r="F82" i="112"/>
  <c r="G82" i="112" s="1"/>
  <c r="F81" i="112"/>
  <c r="G81" i="112" s="1"/>
  <c r="F78" i="112"/>
  <c r="G78" i="112" s="1"/>
  <c r="F77" i="112"/>
  <c r="G77" i="112" s="1"/>
  <c r="F74" i="112"/>
  <c r="G74" i="112" s="1"/>
  <c r="F73" i="112"/>
  <c r="G73" i="112" s="1"/>
  <c r="F70" i="112"/>
  <c r="G70" i="112" s="1"/>
  <c r="F69" i="112"/>
  <c r="G69" i="112" s="1"/>
  <c r="F66" i="112"/>
  <c r="G66" i="112" s="1"/>
  <c r="F110" i="112"/>
  <c r="G110" i="112" s="1"/>
  <c r="F96" i="112"/>
  <c r="G96" i="112" s="1"/>
  <c r="F65" i="112"/>
  <c r="G65" i="112" s="1"/>
  <c r="F106" i="112"/>
  <c r="G106" i="112" s="1"/>
  <c r="F102" i="112"/>
  <c r="G102" i="112" s="1"/>
  <c r="F100" i="112"/>
  <c r="G100" i="112" s="1"/>
  <c r="F98" i="112"/>
  <c r="G98" i="112" s="1"/>
  <c r="F92" i="112"/>
  <c r="G92" i="112" s="1"/>
  <c r="F88" i="112"/>
  <c r="G88" i="112" s="1"/>
  <c r="F84" i="112"/>
  <c r="G84" i="112" s="1"/>
  <c r="F80" i="112"/>
  <c r="G80" i="112" s="1"/>
  <c r="F76" i="112"/>
  <c r="G76" i="112" s="1"/>
  <c r="F72" i="112"/>
  <c r="G72" i="112" s="1"/>
  <c r="F68" i="112"/>
  <c r="G68" i="112" s="1"/>
  <c r="F67" i="112"/>
  <c r="G67" i="112" s="1"/>
  <c r="F63" i="112"/>
  <c r="G63" i="112" s="1"/>
  <c r="B18" i="112"/>
  <c r="U20" i="112"/>
  <c r="C21" i="112"/>
  <c r="U22" i="112"/>
  <c r="R26" i="112"/>
  <c r="U28" i="112"/>
  <c r="U33" i="112"/>
  <c r="U37" i="112"/>
  <c r="J123" i="112"/>
  <c r="B18" i="111"/>
  <c r="B20" i="111"/>
  <c r="R26" i="111"/>
  <c r="E31" i="111"/>
  <c r="I120" i="111"/>
  <c r="J120" i="111"/>
  <c r="J123" i="111" s="1"/>
  <c r="F113" i="111"/>
  <c r="G113" i="111" s="1"/>
  <c r="F109" i="111"/>
  <c r="G109" i="111" s="1"/>
  <c r="F105" i="111"/>
  <c r="G105" i="111" s="1"/>
  <c r="F101" i="111"/>
  <c r="G101" i="111" s="1"/>
  <c r="F95" i="111"/>
  <c r="G95" i="111" s="1"/>
  <c r="F91" i="111"/>
  <c r="G91" i="111" s="1"/>
  <c r="F87" i="111"/>
  <c r="G87" i="111" s="1"/>
  <c r="F83" i="111"/>
  <c r="G83" i="111" s="1"/>
  <c r="F79" i="111"/>
  <c r="G79" i="111" s="1"/>
  <c r="F75" i="111"/>
  <c r="G75" i="111" s="1"/>
  <c r="F71" i="111"/>
  <c r="G71" i="111" s="1"/>
  <c r="F111" i="111"/>
  <c r="G111" i="111" s="1"/>
  <c r="F107" i="111"/>
  <c r="G107" i="111" s="1"/>
  <c r="F103" i="111"/>
  <c r="G103" i="111" s="1"/>
  <c r="F99" i="111"/>
  <c r="G99" i="111" s="1"/>
  <c r="F97" i="111"/>
  <c r="G97" i="111" s="1"/>
  <c r="F93" i="111"/>
  <c r="G93" i="111" s="1"/>
  <c r="F89" i="111"/>
  <c r="G89" i="111" s="1"/>
  <c r="F85" i="111"/>
  <c r="G85" i="111" s="1"/>
  <c r="F81" i="111"/>
  <c r="G81" i="111" s="1"/>
  <c r="F77" i="111"/>
  <c r="G77" i="111" s="1"/>
  <c r="F73" i="111"/>
  <c r="G73" i="111" s="1"/>
  <c r="F69" i="111"/>
  <c r="G69" i="111" s="1"/>
  <c r="F112" i="111"/>
  <c r="G112" i="111" s="1"/>
  <c r="F108" i="111"/>
  <c r="G108" i="111" s="1"/>
  <c r="F104" i="111"/>
  <c r="G104" i="111" s="1"/>
  <c r="F96" i="111"/>
  <c r="G96" i="111" s="1"/>
  <c r="F92" i="111"/>
  <c r="G92" i="111" s="1"/>
  <c r="F88" i="111"/>
  <c r="G88" i="111" s="1"/>
  <c r="F84" i="111"/>
  <c r="G84" i="111" s="1"/>
  <c r="F80" i="111"/>
  <c r="G80" i="111" s="1"/>
  <c r="F76" i="111"/>
  <c r="G76" i="111" s="1"/>
  <c r="F72" i="111"/>
  <c r="G72" i="111" s="1"/>
  <c r="F67" i="111"/>
  <c r="G67" i="111" s="1"/>
  <c r="F63" i="111"/>
  <c r="G63" i="111" s="1"/>
  <c r="B21" i="111"/>
  <c r="F110" i="111"/>
  <c r="G110" i="111" s="1"/>
  <c r="F66" i="111"/>
  <c r="G66" i="111" s="1"/>
  <c r="F102" i="111"/>
  <c r="G102" i="111" s="1"/>
  <c r="F100" i="111"/>
  <c r="G100" i="111" s="1"/>
  <c r="F98" i="111"/>
  <c r="G98" i="111" s="1"/>
  <c r="F94" i="111"/>
  <c r="G94" i="111" s="1"/>
  <c r="F90" i="111"/>
  <c r="G90" i="111" s="1"/>
  <c r="F86" i="111"/>
  <c r="G86" i="111" s="1"/>
  <c r="F82" i="111"/>
  <c r="G82" i="111" s="1"/>
  <c r="F78" i="111"/>
  <c r="G78" i="111" s="1"/>
  <c r="F74" i="111"/>
  <c r="G74" i="111" s="1"/>
  <c r="F70" i="111"/>
  <c r="G70" i="111" s="1"/>
  <c r="F65" i="111"/>
  <c r="G65" i="111" s="1"/>
  <c r="F106" i="111"/>
  <c r="G106" i="111" s="1"/>
  <c r="F68" i="111"/>
  <c r="G68" i="111" s="1"/>
  <c r="C21" i="111"/>
  <c r="B22" i="111"/>
  <c r="U14" i="111"/>
  <c r="C22" i="111"/>
  <c r="R25" i="111"/>
  <c r="F64" i="111"/>
  <c r="G64" i="111" s="1"/>
  <c r="J122" i="111"/>
  <c r="I123" i="111"/>
  <c r="I122" i="111"/>
  <c r="I120" i="110"/>
  <c r="J120" i="110"/>
  <c r="F113" i="110"/>
  <c r="G113" i="110" s="1"/>
  <c r="F109" i="110"/>
  <c r="G109" i="110" s="1"/>
  <c r="F105" i="110"/>
  <c r="G105" i="110" s="1"/>
  <c r="F101" i="110"/>
  <c r="G101" i="110" s="1"/>
  <c r="F95" i="110"/>
  <c r="G95" i="110" s="1"/>
  <c r="F91" i="110"/>
  <c r="G91" i="110" s="1"/>
  <c r="F87" i="110"/>
  <c r="G87" i="110" s="1"/>
  <c r="F83" i="110"/>
  <c r="G83" i="110" s="1"/>
  <c r="F79" i="110"/>
  <c r="G79" i="110" s="1"/>
  <c r="F75" i="110"/>
  <c r="G75" i="110" s="1"/>
  <c r="F71" i="110"/>
  <c r="G71" i="110" s="1"/>
  <c r="F111" i="110"/>
  <c r="G111" i="110" s="1"/>
  <c r="F107" i="110"/>
  <c r="G107" i="110" s="1"/>
  <c r="F112" i="110"/>
  <c r="G112" i="110" s="1"/>
  <c r="F108" i="110"/>
  <c r="G108" i="110" s="1"/>
  <c r="F104" i="110"/>
  <c r="G104" i="110" s="1"/>
  <c r="F100" i="110"/>
  <c r="G100" i="110" s="1"/>
  <c r="F98" i="110"/>
  <c r="G98" i="110" s="1"/>
  <c r="F97" i="110"/>
  <c r="G97" i="110" s="1"/>
  <c r="F94" i="110"/>
  <c r="G94" i="110" s="1"/>
  <c r="F93" i="110"/>
  <c r="G93" i="110" s="1"/>
  <c r="F90" i="110"/>
  <c r="G90" i="110" s="1"/>
  <c r="F89" i="110"/>
  <c r="G89" i="110" s="1"/>
  <c r="F86" i="110"/>
  <c r="G86" i="110" s="1"/>
  <c r="F85" i="110"/>
  <c r="G85" i="110" s="1"/>
  <c r="F82" i="110"/>
  <c r="G82" i="110" s="1"/>
  <c r="F81" i="110"/>
  <c r="G81" i="110" s="1"/>
  <c r="F78" i="110"/>
  <c r="G78" i="110" s="1"/>
  <c r="F77" i="110"/>
  <c r="G77" i="110" s="1"/>
  <c r="F74" i="110"/>
  <c r="G74" i="110" s="1"/>
  <c r="F73" i="110"/>
  <c r="G73" i="110" s="1"/>
  <c r="F70" i="110"/>
  <c r="G70" i="110" s="1"/>
  <c r="F69" i="110"/>
  <c r="G69" i="110" s="1"/>
  <c r="F110" i="110"/>
  <c r="G110" i="110" s="1"/>
  <c r="F106" i="110"/>
  <c r="G106" i="110" s="1"/>
  <c r="F103" i="110"/>
  <c r="G103" i="110" s="1"/>
  <c r="F102" i="110"/>
  <c r="G102" i="110" s="1"/>
  <c r="F99" i="110"/>
  <c r="G99" i="110" s="1"/>
  <c r="F96" i="110"/>
  <c r="G96" i="110" s="1"/>
  <c r="F92" i="110"/>
  <c r="G92" i="110" s="1"/>
  <c r="F88" i="110"/>
  <c r="G88" i="110" s="1"/>
  <c r="F84" i="110"/>
  <c r="G84" i="110" s="1"/>
  <c r="F80" i="110"/>
  <c r="G80" i="110" s="1"/>
  <c r="F76" i="110"/>
  <c r="G76" i="110" s="1"/>
  <c r="F72" i="110"/>
  <c r="G72" i="110" s="1"/>
  <c r="F68" i="110"/>
  <c r="G68" i="110" s="1"/>
  <c r="F67" i="110"/>
  <c r="G67" i="110" s="1"/>
  <c r="F63" i="110"/>
  <c r="G63" i="110" s="1"/>
  <c r="B18" i="110"/>
  <c r="C21" i="110"/>
  <c r="R26" i="110"/>
  <c r="R27" i="110"/>
  <c r="B30" i="110" s="1"/>
  <c r="E31" i="110"/>
  <c r="F65" i="110"/>
  <c r="G65" i="110" s="1"/>
  <c r="F66" i="110"/>
  <c r="G66" i="110" s="1"/>
  <c r="F28" i="110"/>
  <c r="F64" i="110"/>
  <c r="G64" i="110" s="1"/>
  <c r="B20" i="110"/>
  <c r="C22" i="110"/>
  <c r="B23" i="110"/>
  <c r="H58" i="110"/>
  <c r="J123" i="110"/>
  <c r="J122" i="110"/>
  <c r="B21" i="109"/>
  <c r="E30" i="109"/>
  <c r="I120" i="109"/>
  <c r="J120" i="109"/>
  <c r="B13" i="109" s="1"/>
  <c r="F113" i="109"/>
  <c r="G113" i="109" s="1"/>
  <c r="F109" i="109"/>
  <c r="G109" i="109" s="1"/>
  <c r="F105" i="109"/>
  <c r="G105" i="109" s="1"/>
  <c r="F101" i="109"/>
  <c r="G101" i="109" s="1"/>
  <c r="F95" i="109"/>
  <c r="G95" i="109" s="1"/>
  <c r="F91" i="109"/>
  <c r="G91" i="109" s="1"/>
  <c r="F87" i="109"/>
  <c r="G87" i="109" s="1"/>
  <c r="F83" i="109"/>
  <c r="G83" i="109" s="1"/>
  <c r="F79" i="109"/>
  <c r="G79" i="109" s="1"/>
  <c r="F75" i="109"/>
  <c r="G75" i="109" s="1"/>
  <c r="F71" i="109"/>
  <c r="G71" i="109" s="1"/>
  <c r="F111" i="109"/>
  <c r="G111" i="109" s="1"/>
  <c r="F107" i="109"/>
  <c r="G107" i="109" s="1"/>
  <c r="F103" i="109"/>
  <c r="G103" i="109" s="1"/>
  <c r="F99" i="109"/>
  <c r="G99" i="109" s="1"/>
  <c r="F112" i="109"/>
  <c r="G112" i="109" s="1"/>
  <c r="F108" i="109"/>
  <c r="G108" i="109" s="1"/>
  <c r="F104" i="109"/>
  <c r="G104" i="109" s="1"/>
  <c r="F100" i="109"/>
  <c r="G100" i="109" s="1"/>
  <c r="F96" i="109"/>
  <c r="G96" i="109" s="1"/>
  <c r="F97" i="109"/>
  <c r="G97" i="109" s="1"/>
  <c r="F94" i="109"/>
  <c r="G94" i="109" s="1"/>
  <c r="F93" i="109"/>
  <c r="G93" i="109" s="1"/>
  <c r="F90" i="109"/>
  <c r="G90" i="109" s="1"/>
  <c r="F89" i="109"/>
  <c r="G89" i="109" s="1"/>
  <c r="F86" i="109"/>
  <c r="G86" i="109" s="1"/>
  <c r="F85" i="109"/>
  <c r="G85" i="109" s="1"/>
  <c r="F82" i="109"/>
  <c r="G82" i="109" s="1"/>
  <c r="F81" i="109"/>
  <c r="G81" i="109" s="1"/>
  <c r="F78" i="109"/>
  <c r="G78" i="109" s="1"/>
  <c r="F77" i="109"/>
  <c r="G77" i="109" s="1"/>
  <c r="F74" i="109"/>
  <c r="G74" i="109" s="1"/>
  <c r="F73" i="109"/>
  <c r="G73" i="109" s="1"/>
  <c r="F70" i="109"/>
  <c r="G70" i="109" s="1"/>
  <c r="F69" i="109"/>
  <c r="G69" i="109" s="1"/>
  <c r="F106" i="109"/>
  <c r="G106" i="109" s="1"/>
  <c r="F98" i="109"/>
  <c r="G98" i="109" s="1"/>
  <c r="F92" i="109"/>
  <c r="G92" i="109" s="1"/>
  <c r="F88" i="109"/>
  <c r="G88" i="109" s="1"/>
  <c r="F84" i="109"/>
  <c r="G84" i="109" s="1"/>
  <c r="F80" i="109"/>
  <c r="G80" i="109" s="1"/>
  <c r="F76" i="109"/>
  <c r="G76" i="109" s="1"/>
  <c r="F72" i="109"/>
  <c r="G72" i="109" s="1"/>
  <c r="F68" i="109"/>
  <c r="G68" i="109" s="1"/>
  <c r="F67" i="109"/>
  <c r="G67" i="109" s="1"/>
  <c r="F63" i="109"/>
  <c r="G63" i="109" s="1"/>
  <c r="B18" i="109"/>
  <c r="C21" i="109"/>
  <c r="R26" i="109"/>
  <c r="R27" i="109"/>
  <c r="B30" i="109" s="1"/>
  <c r="B37" i="109"/>
  <c r="B38" i="109" s="1"/>
  <c r="X14" i="109" s="1"/>
  <c r="U14" i="109"/>
  <c r="B19" i="109"/>
  <c r="B22" i="109"/>
  <c r="U24" i="109"/>
  <c r="F102" i="109"/>
  <c r="G102" i="109" s="1"/>
  <c r="F110" i="109"/>
  <c r="G110" i="109" s="1"/>
  <c r="C22" i="109"/>
  <c r="F27" i="109"/>
  <c r="U36" i="109"/>
  <c r="U37" i="109"/>
  <c r="F65" i="109"/>
  <c r="G65" i="109" s="1"/>
  <c r="F66" i="109"/>
  <c r="G66" i="109" s="1"/>
  <c r="F58" i="108"/>
  <c r="F57" i="108"/>
  <c r="U3" i="108"/>
  <c r="V3" i="108" s="1"/>
  <c r="I120" i="108"/>
  <c r="J120" i="108"/>
  <c r="F113" i="108"/>
  <c r="G113" i="108" s="1"/>
  <c r="F109" i="108"/>
  <c r="G109" i="108" s="1"/>
  <c r="F105" i="108"/>
  <c r="G105" i="108" s="1"/>
  <c r="F101" i="108"/>
  <c r="G101" i="108" s="1"/>
  <c r="F95" i="108"/>
  <c r="G95" i="108" s="1"/>
  <c r="F91" i="108"/>
  <c r="G91" i="108" s="1"/>
  <c r="F87" i="108"/>
  <c r="G87" i="108" s="1"/>
  <c r="F83" i="108"/>
  <c r="G83" i="108" s="1"/>
  <c r="F79" i="108"/>
  <c r="G79" i="108" s="1"/>
  <c r="F75" i="108"/>
  <c r="G75" i="108" s="1"/>
  <c r="F71" i="108"/>
  <c r="G71" i="108" s="1"/>
  <c r="F111" i="108"/>
  <c r="G111" i="108" s="1"/>
  <c r="F107" i="108"/>
  <c r="G107" i="108" s="1"/>
  <c r="F103" i="108"/>
  <c r="G103" i="108" s="1"/>
  <c r="F99" i="108"/>
  <c r="G99" i="108" s="1"/>
  <c r="F112" i="108"/>
  <c r="G112" i="108" s="1"/>
  <c r="F108" i="108"/>
  <c r="G108" i="108" s="1"/>
  <c r="F104" i="108"/>
  <c r="G104" i="108" s="1"/>
  <c r="F97" i="108"/>
  <c r="G97" i="108" s="1"/>
  <c r="F94" i="108"/>
  <c r="G94" i="108" s="1"/>
  <c r="F93" i="108"/>
  <c r="G93" i="108" s="1"/>
  <c r="F90" i="108"/>
  <c r="G90" i="108" s="1"/>
  <c r="F89" i="108"/>
  <c r="G89" i="108" s="1"/>
  <c r="F86" i="108"/>
  <c r="G86" i="108" s="1"/>
  <c r="F85" i="108"/>
  <c r="G85" i="108" s="1"/>
  <c r="F82" i="108"/>
  <c r="G82" i="108" s="1"/>
  <c r="F81" i="108"/>
  <c r="G81" i="108" s="1"/>
  <c r="F78" i="108"/>
  <c r="G78" i="108" s="1"/>
  <c r="F77" i="108"/>
  <c r="G77" i="108" s="1"/>
  <c r="F74" i="108"/>
  <c r="G74" i="108" s="1"/>
  <c r="F73" i="108"/>
  <c r="G73" i="108" s="1"/>
  <c r="F70" i="108"/>
  <c r="G70" i="108" s="1"/>
  <c r="F69" i="108"/>
  <c r="G69" i="108" s="1"/>
  <c r="F110" i="108"/>
  <c r="G110" i="108" s="1"/>
  <c r="F106" i="108"/>
  <c r="G106" i="108" s="1"/>
  <c r="F96" i="108"/>
  <c r="G96" i="108" s="1"/>
  <c r="F92" i="108"/>
  <c r="G92" i="108" s="1"/>
  <c r="F88" i="108"/>
  <c r="G88" i="108" s="1"/>
  <c r="F84" i="108"/>
  <c r="G84" i="108" s="1"/>
  <c r="F80" i="108"/>
  <c r="G80" i="108" s="1"/>
  <c r="F76" i="108"/>
  <c r="G76" i="108" s="1"/>
  <c r="F72" i="108"/>
  <c r="G72" i="108" s="1"/>
  <c r="F68" i="108"/>
  <c r="G68" i="108" s="1"/>
  <c r="F67" i="108"/>
  <c r="G67" i="108" s="1"/>
  <c r="F63" i="108"/>
  <c r="G63" i="108" s="1"/>
  <c r="B18" i="108"/>
  <c r="C21" i="108"/>
  <c r="R26" i="108"/>
  <c r="F65" i="108"/>
  <c r="G65" i="108" s="1"/>
  <c r="F66" i="108"/>
  <c r="G66" i="108" s="1"/>
  <c r="F98" i="108"/>
  <c r="G98" i="108" s="1"/>
  <c r="F100" i="108"/>
  <c r="G100" i="108" s="1"/>
  <c r="F102" i="108"/>
  <c r="G102" i="108" s="1"/>
  <c r="U14" i="108"/>
  <c r="B19" i="108"/>
  <c r="B22" i="108"/>
  <c r="F28" i="108"/>
  <c r="E30" i="108"/>
  <c r="F64" i="108"/>
  <c r="G64" i="108" s="1"/>
  <c r="B20" i="108"/>
  <c r="C22" i="108"/>
  <c r="J123" i="108"/>
  <c r="I122" i="108"/>
  <c r="I123" i="108"/>
  <c r="J122" i="108"/>
  <c r="B27" i="107"/>
  <c r="R27" i="107"/>
  <c r="B30" i="107" s="1"/>
  <c r="U14" i="107"/>
  <c r="C21" i="107"/>
  <c r="B22" i="107"/>
  <c r="F27" i="107"/>
  <c r="F28" i="107"/>
  <c r="E30" i="107"/>
  <c r="F72" i="107"/>
  <c r="G72" i="107" s="1"/>
  <c r="F76" i="107"/>
  <c r="G76" i="107" s="1"/>
  <c r="F80" i="107"/>
  <c r="G80" i="107" s="1"/>
  <c r="F84" i="107"/>
  <c r="G84" i="107" s="1"/>
  <c r="F88" i="107"/>
  <c r="G88" i="107" s="1"/>
  <c r="F92" i="107"/>
  <c r="G92" i="107" s="1"/>
  <c r="R25" i="107"/>
  <c r="I58" i="107"/>
  <c r="I120" i="107"/>
  <c r="J120" i="107"/>
  <c r="B13" i="107" s="1"/>
  <c r="F113" i="107"/>
  <c r="G113" i="107" s="1"/>
  <c r="F109" i="107"/>
  <c r="G109" i="107" s="1"/>
  <c r="F105" i="107"/>
  <c r="G105" i="107" s="1"/>
  <c r="F101" i="107"/>
  <c r="G101" i="107" s="1"/>
  <c r="F95" i="107"/>
  <c r="G95" i="107" s="1"/>
  <c r="F91" i="107"/>
  <c r="G91" i="107" s="1"/>
  <c r="F87" i="107"/>
  <c r="G87" i="107" s="1"/>
  <c r="F83" i="107"/>
  <c r="G83" i="107" s="1"/>
  <c r="F79" i="107"/>
  <c r="G79" i="107" s="1"/>
  <c r="F75" i="107"/>
  <c r="G75" i="107" s="1"/>
  <c r="F71" i="107"/>
  <c r="G71" i="107" s="1"/>
  <c r="F111" i="107"/>
  <c r="G111" i="107" s="1"/>
  <c r="F107" i="107"/>
  <c r="G107" i="107" s="1"/>
  <c r="F103" i="107"/>
  <c r="G103" i="107" s="1"/>
  <c r="F99" i="107"/>
  <c r="G99" i="107" s="1"/>
  <c r="F97" i="107"/>
  <c r="G97" i="107" s="1"/>
  <c r="F93" i="107"/>
  <c r="G93" i="107" s="1"/>
  <c r="F89" i="107"/>
  <c r="G89" i="107" s="1"/>
  <c r="F85" i="107"/>
  <c r="G85" i="107" s="1"/>
  <c r="F81" i="107"/>
  <c r="G81" i="107" s="1"/>
  <c r="F77" i="107"/>
  <c r="G77" i="107" s="1"/>
  <c r="F73" i="107"/>
  <c r="G73" i="107" s="1"/>
  <c r="F69" i="107"/>
  <c r="G69" i="107" s="1"/>
  <c r="F112" i="107"/>
  <c r="G112" i="107" s="1"/>
  <c r="F110" i="107"/>
  <c r="G110" i="107" s="1"/>
  <c r="F108" i="107"/>
  <c r="G108" i="107" s="1"/>
  <c r="F106" i="107"/>
  <c r="G106" i="107" s="1"/>
  <c r="F104" i="107"/>
  <c r="G104" i="107" s="1"/>
  <c r="F102" i="107"/>
  <c r="G102" i="107" s="1"/>
  <c r="F100" i="107"/>
  <c r="G100" i="107" s="1"/>
  <c r="F98" i="107"/>
  <c r="G98" i="107" s="1"/>
  <c r="F94" i="107"/>
  <c r="G94" i="107" s="1"/>
  <c r="F90" i="107"/>
  <c r="G90" i="107" s="1"/>
  <c r="F86" i="107"/>
  <c r="G86" i="107" s="1"/>
  <c r="F82" i="107"/>
  <c r="G82" i="107" s="1"/>
  <c r="F78" i="107"/>
  <c r="G78" i="107" s="1"/>
  <c r="F74" i="107"/>
  <c r="G74" i="107" s="1"/>
  <c r="F70" i="107"/>
  <c r="G70" i="107" s="1"/>
  <c r="F68" i="107"/>
  <c r="G68" i="107" s="1"/>
  <c r="F64" i="107"/>
  <c r="G64" i="107" s="1"/>
  <c r="F67" i="107"/>
  <c r="G67" i="107" s="1"/>
  <c r="F63" i="107"/>
  <c r="G63" i="107" s="1"/>
  <c r="B21" i="107"/>
  <c r="F65" i="107"/>
  <c r="G65" i="107" s="1"/>
  <c r="B18" i="107"/>
  <c r="B19" i="107"/>
  <c r="B20" i="107"/>
  <c r="F58" i="106"/>
  <c r="F57" i="106"/>
  <c r="U3" i="106"/>
  <c r="V3" i="106" s="1"/>
  <c r="B38" i="106"/>
  <c r="X14" i="106" s="1"/>
  <c r="U37" i="106"/>
  <c r="U35" i="106"/>
  <c r="U34" i="106"/>
  <c r="U33" i="106"/>
  <c r="U28" i="106"/>
  <c r="U30" i="106"/>
  <c r="U27" i="106"/>
  <c r="U25" i="106"/>
  <c r="U19" i="106"/>
  <c r="U38" i="106"/>
  <c r="U32" i="106"/>
  <c r="U29" i="106"/>
  <c r="U21" i="106"/>
  <c r="U18" i="106"/>
  <c r="U16" i="106"/>
  <c r="U39" i="106"/>
  <c r="U31" i="106"/>
  <c r="U26" i="106"/>
  <c r="U24" i="106"/>
  <c r="U23" i="106"/>
  <c r="U17" i="106"/>
  <c r="U14" i="106"/>
  <c r="U36" i="106"/>
  <c r="U22" i="106"/>
  <c r="U20" i="106"/>
  <c r="U15" i="106"/>
  <c r="I120" i="106"/>
  <c r="I122" i="106" s="1"/>
  <c r="J120" i="106"/>
  <c r="F113" i="106"/>
  <c r="G113" i="106" s="1"/>
  <c r="F109" i="106"/>
  <c r="G109" i="106" s="1"/>
  <c r="F105" i="106"/>
  <c r="G105" i="106" s="1"/>
  <c r="F101" i="106"/>
  <c r="G101" i="106" s="1"/>
  <c r="F95" i="106"/>
  <c r="G95" i="106" s="1"/>
  <c r="F91" i="106"/>
  <c r="G91" i="106" s="1"/>
  <c r="F87" i="106"/>
  <c r="G87" i="106" s="1"/>
  <c r="F83" i="106"/>
  <c r="G83" i="106" s="1"/>
  <c r="F79" i="106"/>
  <c r="G79" i="106" s="1"/>
  <c r="F75" i="106"/>
  <c r="G75" i="106" s="1"/>
  <c r="F71" i="106"/>
  <c r="G71" i="106" s="1"/>
  <c r="F111" i="106"/>
  <c r="G111" i="106" s="1"/>
  <c r="F107" i="106"/>
  <c r="G107" i="106" s="1"/>
  <c r="F103" i="106"/>
  <c r="G103" i="106" s="1"/>
  <c r="F99" i="106"/>
  <c r="G99" i="106" s="1"/>
  <c r="F97" i="106"/>
  <c r="G97" i="106" s="1"/>
  <c r="F93" i="106"/>
  <c r="G93" i="106" s="1"/>
  <c r="F89" i="106"/>
  <c r="G89" i="106" s="1"/>
  <c r="F85" i="106"/>
  <c r="G85" i="106" s="1"/>
  <c r="F81" i="106"/>
  <c r="G81" i="106" s="1"/>
  <c r="F77" i="106"/>
  <c r="G77" i="106" s="1"/>
  <c r="F73" i="106"/>
  <c r="G73" i="106" s="1"/>
  <c r="F68" i="106"/>
  <c r="G68" i="106" s="1"/>
  <c r="F67" i="106"/>
  <c r="G67" i="106" s="1"/>
  <c r="F63" i="106"/>
  <c r="G63" i="106" s="1"/>
  <c r="F96" i="106"/>
  <c r="G96" i="106" s="1"/>
  <c r="F92" i="106"/>
  <c r="G92" i="106" s="1"/>
  <c r="F88" i="106"/>
  <c r="G88" i="106" s="1"/>
  <c r="F84" i="106"/>
  <c r="G84" i="106" s="1"/>
  <c r="F80" i="106"/>
  <c r="G80" i="106" s="1"/>
  <c r="F76" i="106"/>
  <c r="G76" i="106" s="1"/>
  <c r="F72" i="106"/>
  <c r="G72" i="106" s="1"/>
  <c r="F69" i="106"/>
  <c r="G69" i="106" s="1"/>
  <c r="F66" i="106"/>
  <c r="G66" i="106" s="1"/>
  <c r="F112" i="106"/>
  <c r="G112" i="106" s="1"/>
  <c r="F110" i="106"/>
  <c r="G110" i="106" s="1"/>
  <c r="F108" i="106"/>
  <c r="G108" i="106" s="1"/>
  <c r="F106" i="106"/>
  <c r="G106" i="106" s="1"/>
  <c r="F104" i="106"/>
  <c r="G104" i="106" s="1"/>
  <c r="F102" i="106"/>
  <c r="G102" i="106" s="1"/>
  <c r="F100" i="106"/>
  <c r="G100" i="106" s="1"/>
  <c r="F98" i="106"/>
  <c r="G98" i="106" s="1"/>
  <c r="F94" i="106"/>
  <c r="G94" i="106" s="1"/>
  <c r="F90" i="106"/>
  <c r="G90" i="106" s="1"/>
  <c r="F86" i="106"/>
  <c r="G86" i="106" s="1"/>
  <c r="F82" i="106"/>
  <c r="G82" i="106" s="1"/>
  <c r="F78" i="106"/>
  <c r="G78" i="106" s="1"/>
  <c r="F74" i="106"/>
  <c r="G74" i="106" s="1"/>
  <c r="F70" i="106"/>
  <c r="G70" i="106" s="1"/>
  <c r="F64" i="106"/>
  <c r="G64" i="106" s="1"/>
  <c r="B18" i="106"/>
  <c r="C21" i="106"/>
  <c r="R26" i="106"/>
  <c r="B22" i="106"/>
  <c r="E30" i="106"/>
  <c r="B20" i="106"/>
  <c r="C22" i="106"/>
  <c r="R25" i="106"/>
  <c r="F65" i="106"/>
  <c r="G65" i="106" s="1"/>
  <c r="J123" i="106"/>
  <c r="J122" i="106"/>
  <c r="U36" i="105"/>
  <c r="U31" i="105"/>
  <c r="U30" i="105"/>
  <c r="U38" i="105"/>
  <c r="U37" i="105"/>
  <c r="U35" i="105"/>
  <c r="U27" i="105"/>
  <c r="U26" i="105"/>
  <c r="U24" i="105"/>
  <c r="U23" i="105"/>
  <c r="U17" i="105"/>
  <c r="U14" i="105"/>
  <c r="U39" i="105"/>
  <c r="U28" i="105"/>
  <c r="U22" i="105"/>
  <c r="U20" i="105"/>
  <c r="U15" i="105"/>
  <c r="U33" i="105"/>
  <c r="U32" i="105"/>
  <c r="U25" i="105"/>
  <c r="U19" i="105"/>
  <c r="U34" i="105"/>
  <c r="U29" i="105"/>
  <c r="U21" i="105"/>
  <c r="U18" i="105"/>
  <c r="U16" i="105"/>
  <c r="F57" i="105"/>
  <c r="F58" i="105"/>
  <c r="U3" i="105"/>
  <c r="V3" i="105" s="1"/>
  <c r="B20" i="105"/>
  <c r="C22" i="105"/>
  <c r="R25" i="105"/>
  <c r="F27" i="105"/>
  <c r="F68" i="105"/>
  <c r="G68" i="105" s="1"/>
  <c r="F63" i="105"/>
  <c r="G63" i="105" s="1"/>
  <c r="F64" i="105"/>
  <c r="G64" i="105" s="1"/>
  <c r="F67" i="105"/>
  <c r="G67" i="105" s="1"/>
  <c r="F69" i="105"/>
  <c r="G69" i="105" s="1"/>
  <c r="F70" i="105"/>
  <c r="G70" i="105" s="1"/>
  <c r="F72" i="105"/>
  <c r="G72" i="105" s="1"/>
  <c r="F73" i="105"/>
  <c r="G73" i="105" s="1"/>
  <c r="F74" i="105"/>
  <c r="G74" i="105" s="1"/>
  <c r="F76" i="105"/>
  <c r="G76" i="105" s="1"/>
  <c r="F77" i="105"/>
  <c r="G77" i="105" s="1"/>
  <c r="F78" i="105"/>
  <c r="G78" i="105" s="1"/>
  <c r="F80" i="105"/>
  <c r="G80" i="105" s="1"/>
  <c r="F81" i="105"/>
  <c r="G81" i="105" s="1"/>
  <c r="F82" i="105"/>
  <c r="G82" i="105" s="1"/>
  <c r="F84" i="105"/>
  <c r="G84" i="105" s="1"/>
  <c r="F85" i="105"/>
  <c r="G85" i="105" s="1"/>
  <c r="F86" i="105"/>
  <c r="G86" i="105" s="1"/>
  <c r="F88" i="105"/>
  <c r="G88" i="105" s="1"/>
  <c r="F89" i="105"/>
  <c r="G89" i="105" s="1"/>
  <c r="F90" i="105"/>
  <c r="G90" i="105" s="1"/>
  <c r="F92" i="105"/>
  <c r="G92" i="105" s="1"/>
  <c r="I120" i="105"/>
  <c r="I122" i="105" s="1"/>
  <c r="J120" i="105"/>
  <c r="F113" i="105"/>
  <c r="G113" i="105" s="1"/>
  <c r="F109" i="105"/>
  <c r="G109" i="105" s="1"/>
  <c r="F105" i="105"/>
  <c r="G105" i="105" s="1"/>
  <c r="F101" i="105"/>
  <c r="G101" i="105" s="1"/>
  <c r="F95" i="105"/>
  <c r="G95" i="105" s="1"/>
  <c r="F91" i="105"/>
  <c r="G91" i="105" s="1"/>
  <c r="F87" i="105"/>
  <c r="G87" i="105" s="1"/>
  <c r="F83" i="105"/>
  <c r="G83" i="105" s="1"/>
  <c r="F79" i="105"/>
  <c r="G79" i="105" s="1"/>
  <c r="F75" i="105"/>
  <c r="G75" i="105" s="1"/>
  <c r="F71" i="105"/>
  <c r="G71" i="105" s="1"/>
  <c r="F112" i="105"/>
  <c r="G112" i="105" s="1"/>
  <c r="F108" i="105"/>
  <c r="G108" i="105" s="1"/>
  <c r="F104" i="105"/>
  <c r="G104" i="105" s="1"/>
  <c r="F100" i="105"/>
  <c r="G100" i="105" s="1"/>
  <c r="F96" i="105"/>
  <c r="G96" i="105" s="1"/>
  <c r="F111" i="105"/>
  <c r="G111" i="105" s="1"/>
  <c r="F110" i="105"/>
  <c r="G110" i="105" s="1"/>
  <c r="F107" i="105"/>
  <c r="G107" i="105" s="1"/>
  <c r="F106" i="105"/>
  <c r="G106" i="105" s="1"/>
  <c r="F103" i="105"/>
  <c r="G103" i="105" s="1"/>
  <c r="F102" i="105"/>
  <c r="G102" i="105" s="1"/>
  <c r="F99" i="105"/>
  <c r="G99" i="105" s="1"/>
  <c r="F98" i="105"/>
  <c r="G98" i="105" s="1"/>
  <c r="F94" i="105"/>
  <c r="G94" i="105" s="1"/>
  <c r="F65" i="105"/>
  <c r="G65" i="105" s="1"/>
  <c r="B18" i="105"/>
  <c r="C21" i="105"/>
  <c r="R26" i="105"/>
  <c r="E31" i="105"/>
  <c r="F66" i="105"/>
  <c r="G66" i="105" s="1"/>
  <c r="F97" i="105"/>
  <c r="G97" i="105" s="1"/>
  <c r="B19" i="105"/>
  <c r="B22" i="105"/>
  <c r="J123" i="105"/>
  <c r="J122" i="105"/>
  <c r="I120" i="104"/>
  <c r="J120" i="104"/>
  <c r="B13" i="104" s="1"/>
  <c r="F113" i="104"/>
  <c r="G113" i="104" s="1"/>
  <c r="F109" i="104"/>
  <c r="G109" i="104" s="1"/>
  <c r="F105" i="104"/>
  <c r="G105" i="104" s="1"/>
  <c r="F101" i="104"/>
  <c r="G101" i="104" s="1"/>
  <c r="F95" i="104"/>
  <c r="G95" i="104" s="1"/>
  <c r="F91" i="104"/>
  <c r="G91" i="104" s="1"/>
  <c r="F87" i="104"/>
  <c r="G87" i="104" s="1"/>
  <c r="F83" i="104"/>
  <c r="G83" i="104" s="1"/>
  <c r="F79" i="104"/>
  <c r="G79" i="104" s="1"/>
  <c r="F75" i="104"/>
  <c r="G75" i="104" s="1"/>
  <c r="F71" i="104"/>
  <c r="G71" i="104" s="1"/>
  <c r="F111" i="104"/>
  <c r="G111" i="104" s="1"/>
  <c r="F112" i="104"/>
  <c r="G112" i="104" s="1"/>
  <c r="F108" i="104"/>
  <c r="G108" i="104" s="1"/>
  <c r="F104" i="104"/>
  <c r="G104" i="104" s="1"/>
  <c r="F100" i="104"/>
  <c r="G100" i="104" s="1"/>
  <c r="F110" i="104"/>
  <c r="G110" i="104" s="1"/>
  <c r="F107" i="104"/>
  <c r="G107" i="104" s="1"/>
  <c r="F106" i="104"/>
  <c r="G106" i="104" s="1"/>
  <c r="F103" i="104"/>
  <c r="G103" i="104" s="1"/>
  <c r="F102" i="104"/>
  <c r="G102" i="104" s="1"/>
  <c r="F99" i="104"/>
  <c r="G99" i="104" s="1"/>
  <c r="F96" i="104"/>
  <c r="G96" i="104" s="1"/>
  <c r="F92" i="104"/>
  <c r="G92" i="104" s="1"/>
  <c r="F88" i="104"/>
  <c r="G88" i="104" s="1"/>
  <c r="F84" i="104"/>
  <c r="G84" i="104" s="1"/>
  <c r="F98" i="104"/>
  <c r="G98" i="104" s="1"/>
  <c r="F97" i="104"/>
  <c r="G97" i="104" s="1"/>
  <c r="F94" i="104"/>
  <c r="G94" i="104" s="1"/>
  <c r="F93" i="104"/>
  <c r="G93" i="104" s="1"/>
  <c r="F90" i="104"/>
  <c r="G90" i="104" s="1"/>
  <c r="F89" i="104"/>
  <c r="G89" i="104" s="1"/>
  <c r="F86" i="104"/>
  <c r="G86" i="104" s="1"/>
  <c r="F85" i="104"/>
  <c r="G85" i="104" s="1"/>
  <c r="F82" i="104"/>
  <c r="G82" i="104" s="1"/>
  <c r="F81" i="104"/>
  <c r="G81" i="104" s="1"/>
  <c r="F78" i="104"/>
  <c r="G78" i="104" s="1"/>
  <c r="F77" i="104"/>
  <c r="G77" i="104" s="1"/>
  <c r="F74" i="104"/>
  <c r="G74" i="104" s="1"/>
  <c r="F73" i="104"/>
  <c r="G73" i="104" s="1"/>
  <c r="F70" i="104"/>
  <c r="G70" i="104" s="1"/>
  <c r="F69" i="104"/>
  <c r="G69" i="104" s="1"/>
  <c r="F66" i="104"/>
  <c r="G66" i="104" s="1"/>
  <c r="B18" i="104"/>
  <c r="C21" i="104"/>
  <c r="F28" i="104"/>
  <c r="E31" i="104"/>
  <c r="F63" i="104"/>
  <c r="G63" i="104" s="1"/>
  <c r="F67" i="104"/>
  <c r="G67" i="104" s="1"/>
  <c r="R25" i="104"/>
  <c r="F27" i="104"/>
  <c r="H58" i="104"/>
  <c r="F72" i="104"/>
  <c r="G72" i="104" s="1"/>
  <c r="F80" i="104"/>
  <c r="G80" i="104" s="1"/>
  <c r="B20" i="104"/>
  <c r="C22" i="104"/>
  <c r="F68" i="104"/>
  <c r="G68" i="104" s="1"/>
  <c r="B21" i="104"/>
  <c r="R26" i="104"/>
  <c r="F64" i="104"/>
  <c r="G64" i="104" s="1"/>
  <c r="F76" i="104"/>
  <c r="G76" i="104" s="1"/>
  <c r="J123" i="104"/>
  <c r="I122" i="104"/>
  <c r="I123" i="104"/>
  <c r="J122" i="104"/>
  <c r="B18" i="102"/>
  <c r="B19" i="102"/>
  <c r="B20" i="102"/>
  <c r="R26" i="102"/>
  <c r="E31" i="102"/>
  <c r="G58" i="102"/>
  <c r="G57" i="102"/>
  <c r="H57" i="102"/>
  <c r="B23" i="102"/>
  <c r="I120" i="102"/>
  <c r="J120" i="102"/>
  <c r="J122" i="102" s="1"/>
  <c r="F113" i="102"/>
  <c r="G113" i="102" s="1"/>
  <c r="F109" i="102"/>
  <c r="G109" i="102" s="1"/>
  <c r="F105" i="102"/>
  <c r="G105" i="102" s="1"/>
  <c r="F101" i="102"/>
  <c r="G101" i="102" s="1"/>
  <c r="F95" i="102"/>
  <c r="G95" i="102" s="1"/>
  <c r="F91" i="102"/>
  <c r="G91" i="102" s="1"/>
  <c r="F87" i="102"/>
  <c r="G87" i="102" s="1"/>
  <c r="F111" i="102"/>
  <c r="G111" i="102" s="1"/>
  <c r="F107" i="102"/>
  <c r="G107" i="102" s="1"/>
  <c r="F103" i="102"/>
  <c r="G103" i="102" s="1"/>
  <c r="F99" i="102"/>
  <c r="G99" i="102" s="1"/>
  <c r="F97" i="102"/>
  <c r="G97" i="102" s="1"/>
  <c r="F93" i="102"/>
  <c r="G93" i="102" s="1"/>
  <c r="F89" i="102"/>
  <c r="G89" i="102" s="1"/>
  <c r="F85" i="102"/>
  <c r="G85" i="102" s="1"/>
  <c r="F81" i="102"/>
  <c r="G81" i="102" s="1"/>
  <c r="F77" i="102"/>
  <c r="G77" i="102" s="1"/>
  <c r="F73" i="102"/>
  <c r="G73" i="102" s="1"/>
  <c r="F69" i="102"/>
  <c r="G69" i="102" s="1"/>
  <c r="F86" i="102"/>
  <c r="G86" i="102" s="1"/>
  <c r="F82" i="102"/>
  <c r="G82" i="102" s="1"/>
  <c r="F78" i="102"/>
  <c r="G78" i="102" s="1"/>
  <c r="F74" i="102"/>
  <c r="G74" i="102" s="1"/>
  <c r="F70" i="102"/>
  <c r="G70" i="102" s="1"/>
  <c r="F67" i="102"/>
  <c r="G67" i="102" s="1"/>
  <c r="F63" i="102"/>
  <c r="G63" i="102" s="1"/>
  <c r="B21" i="102"/>
  <c r="F96" i="102"/>
  <c r="G96" i="102" s="1"/>
  <c r="F92" i="102"/>
  <c r="G92" i="102" s="1"/>
  <c r="F88" i="102"/>
  <c r="G88" i="102" s="1"/>
  <c r="F84" i="102"/>
  <c r="G84" i="102" s="1"/>
  <c r="F83" i="102"/>
  <c r="G83" i="102" s="1"/>
  <c r="F80" i="102"/>
  <c r="G80" i="102" s="1"/>
  <c r="F79" i="102"/>
  <c r="G79" i="102" s="1"/>
  <c r="F76" i="102"/>
  <c r="G76" i="102" s="1"/>
  <c r="F75" i="102"/>
  <c r="G75" i="102" s="1"/>
  <c r="F72" i="102"/>
  <c r="G72" i="102" s="1"/>
  <c r="F71" i="102"/>
  <c r="G71" i="102" s="1"/>
  <c r="F66" i="102"/>
  <c r="G66" i="102" s="1"/>
  <c r="F112" i="102"/>
  <c r="G112" i="102" s="1"/>
  <c r="F110" i="102"/>
  <c r="G110" i="102" s="1"/>
  <c r="F108" i="102"/>
  <c r="G108" i="102" s="1"/>
  <c r="F106" i="102"/>
  <c r="G106" i="102" s="1"/>
  <c r="F104" i="102"/>
  <c r="G104" i="102" s="1"/>
  <c r="F102" i="102"/>
  <c r="G102" i="102" s="1"/>
  <c r="F100" i="102"/>
  <c r="G100" i="102" s="1"/>
  <c r="F98" i="102"/>
  <c r="G98" i="102" s="1"/>
  <c r="F94" i="102"/>
  <c r="G94" i="102" s="1"/>
  <c r="F90" i="102"/>
  <c r="G90" i="102" s="1"/>
  <c r="F68" i="102"/>
  <c r="G68" i="102" s="1"/>
  <c r="C22" i="102"/>
  <c r="F65" i="102"/>
  <c r="G65" i="102" s="1"/>
  <c r="U5" i="102"/>
  <c r="V5" i="102" s="1"/>
  <c r="U14" i="102"/>
  <c r="R25" i="102"/>
  <c r="J123" i="102"/>
  <c r="U14" i="101"/>
  <c r="B27" i="101"/>
  <c r="U7" i="101"/>
  <c r="V7" i="101" s="1"/>
  <c r="C22" i="101"/>
  <c r="B37" i="101"/>
  <c r="B38" i="101" s="1"/>
  <c r="X14" i="101" s="1"/>
  <c r="J120" i="101"/>
  <c r="I120" i="101"/>
  <c r="F111" i="101"/>
  <c r="G111" i="101" s="1"/>
  <c r="F107" i="101"/>
  <c r="G107" i="101" s="1"/>
  <c r="F103" i="101"/>
  <c r="G103" i="101" s="1"/>
  <c r="F99" i="101"/>
  <c r="G99" i="101" s="1"/>
  <c r="F97" i="101"/>
  <c r="G97" i="101" s="1"/>
  <c r="F93" i="101"/>
  <c r="G93" i="101" s="1"/>
  <c r="F89" i="101"/>
  <c r="G89" i="101" s="1"/>
  <c r="F85" i="101"/>
  <c r="G85" i="101" s="1"/>
  <c r="F81" i="101"/>
  <c r="G81" i="101" s="1"/>
  <c r="F77" i="101"/>
  <c r="G77" i="101" s="1"/>
  <c r="F73" i="101"/>
  <c r="G73" i="101" s="1"/>
  <c r="F69" i="101"/>
  <c r="G69" i="101" s="1"/>
  <c r="F112" i="101"/>
  <c r="G112" i="101" s="1"/>
  <c r="F104" i="101"/>
  <c r="G104" i="101" s="1"/>
  <c r="F68" i="101"/>
  <c r="G68" i="101" s="1"/>
  <c r="F64" i="101"/>
  <c r="G64" i="101" s="1"/>
  <c r="F110" i="101"/>
  <c r="G110" i="101" s="1"/>
  <c r="F102" i="101"/>
  <c r="G102" i="101" s="1"/>
  <c r="F96" i="101"/>
  <c r="G96" i="101" s="1"/>
  <c r="F94" i="101"/>
  <c r="G94" i="101" s="1"/>
  <c r="F91" i="101"/>
  <c r="G91" i="101" s="1"/>
  <c r="F88" i="101"/>
  <c r="G88" i="101" s="1"/>
  <c r="F86" i="101"/>
  <c r="G86" i="101" s="1"/>
  <c r="F83" i="101"/>
  <c r="G83" i="101" s="1"/>
  <c r="F80" i="101"/>
  <c r="G80" i="101" s="1"/>
  <c r="F78" i="101"/>
  <c r="G78" i="101" s="1"/>
  <c r="F75" i="101"/>
  <c r="G75" i="101" s="1"/>
  <c r="F72" i="101"/>
  <c r="G72" i="101" s="1"/>
  <c r="F70" i="101"/>
  <c r="G70" i="101" s="1"/>
  <c r="B22" i="101"/>
  <c r="F109" i="101"/>
  <c r="G109" i="101" s="1"/>
  <c r="F108" i="101"/>
  <c r="G108" i="101" s="1"/>
  <c r="F101" i="101"/>
  <c r="G101" i="101" s="1"/>
  <c r="F100" i="101"/>
  <c r="G100" i="101" s="1"/>
  <c r="F105" i="101"/>
  <c r="G105" i="101" s="1"/>
  <c r="B18" i="101"/>
  <c r="F63" i="101"/>
  <c r="G63" i="101" s="1"/>
  <c r="F65" i="101"/>
  <c r="G65" i="101" s="1"/>
  <c r="F66" i="101"/>
  <c r="G66" i="101" s="1"/>
  <c r="F67" i="101"/>
  <c r="G67" i="101" s="1"/>
  <c r="F79" i="101"/>
  <c r="G79" i="101" s="1"/>
  <c r="F82" i="101"/>
  <c r="G82" i="101" s="1"/>
  <c r="F84" i="101"/>
  <c r="G84" i="101" s="1"/>
  <c r="F90" i="101"/>
  <c r="G90" i="101" s="1"/>
  <c r="F92" i="101"/>
  <c r="G92" i="101" s="1"/>
  <c r="F98" i="101"/>
  <c r="G98" i="101" s="1"/>
  <c r="F113" i="101"/>
  <c r="G113" i="101" s="1"/>
  <c r="R25" i="101"/>
  <c r="B29" i="101" s="1"/>
  <c r="B19" i="101"/>
  <c r="B21" i="101"/>
  <c r="R27" i="101"/>
  <c r="B30" i="101" s="1"/>
  <c r="G57" i="101"/>
  <c r="F27" i="101"/>
  <c r="E30" i="101"/>
  <c r="E31" i="101"/>
  <c r="J123" i="101"/>
  <c r="I122" i="101"/>
  <c r="U30" i="100"/>
  <c r="U29" i="100"/>
  <c r="U20" i="100"/>
  <c r="U18" i="100"/>
  <c r="U16" i="100"/>
  <c r="X14" i="100"/>
  <c r="H57" i="100"/>
  <c r="B23" i="100"/>
  <c r="H58" i="100"/>
  <c r="U5" i="100"/>
  <c r="V5" i="100" s="1"/>
  <c r="B27" i="100"/>
  <c r="U14" i="100"/>
  <c r="U17" i="100"/>
  <c r="C21" i="100"/>
  <c r="U26" i="100"/>
  <c r="F27" i="100"/>
  <c r="U28" i="100"/>
  <c r="E31" i="100"/>
  <c r="U37" i="100"/>
  <c r="I58" i="100"/>
  <c r="U21" i="100"/>
  <c r="U24" i="100"/>
  <c r="R25" i="100"/>
  <c r="B29" i="100" s="1"/>
  <c r="R27" i="100"/>
  <c r="B30" i="100" s="1"/>
  <c r="F28" i="100"/>
  <c r="U31" i="100"/>
  <c r="I120" i="100"/>
  <c r="I122" i="100" s="1"/>
  <c r="J120" i="100"/>
  <c r="B13" i="100" s="1"/>
  <c r="U39" i="100"/>
  <c r="U38" i="100"/>
  <c r="U32" i="100"/>
  <c r="U25" i="100"/>
  <c r="U19" i="100"/>
  <c r="U35" i="100"/>
  <c r="U34" i="100"/>
  <c r="U33" i="100"/>
  <c r="U15" i="100"/>
  <c r="F113" i="100"/>
  <c r="G113" i="100" s="1"/>
  <c r="F109" i="100"/>
  <c r="G109" i="100" s="1"/>
  <c r="F105" i="100"/>
  <c r="G105" i="100" s="1"/>
  <c r="F101" i="100"/>
  <c r="G101" i="100" s="1"/>
  <c r="F95" i="100"/>
  <c r="G95" i="100" s="1"/>
  <c r="F91" i="100"/>
  <c r="G91" i="100" s="1"/>
  <c r="F87" i="100"/>
  <c r="G87" i="100" s="1"/>
  <c r="F83" i="100"/>
  <c r="G83" i="100" s="1"/>
  <c r="F79" i="100"/>
  <c r="G79" i="100" s="1"/>
  <c r="F75" i="100"/>
  <c r="G75" i="100" s="1"/>
  <c r="F71" i="100"/>
  <c r="G71" i="100" s="1"/>
  <c r="F111" i="100"/>
  <c r="G111" i="100" s="1"/>
  <c r="F107" i="100"/>
  <c r="G107" i="100" s="1"/>
  <c r="F103" i="100"/>
  <c r="G103" i="100" s="1"/>
  <c r="F99" i="100"/>
  <c r="G99" i="100" s="1"/>
  <c r="F97" i="100"/>
  <c r="G97" i="100" s="1"/>
  <c r="F93" i="100"/>
  <c r="G93" i="100" s="1"/>
  <c r="F112" i="100"/>
  <c r="G112" i="100" s="1"/>
  <c r="F108" i="100"/>
  <c r="G108" i="100" s="1"/>
  <c r="F104" i="100"/>
  <c r="G104" i="100" s="1"/>
  <c r="F100" i="100"/>
  <c r="G100" i="100" s="1"/>
  <c r="F98" i="100"/>
  <c r="G98" i="100" s="1"/>
  <c r="F94" i="100"/>
  <c r="G94" i="100" s="1"/>
  <c r="F92" i="100"/>
  <c r="G92" i="100" s="1"/>
  <c r="F88" i="100"/>
  <c r="G88" i="100" s="1"/>
  <c r="F84" i="100"/>
  <c r="G84" i="100" s="1"/>
  <c r="F80" i="100"/>
  <c r="G80" i="100" s="1"/>
  <c r="F76" i="100"/>
  <c r="G76" i="100" s="1"/>
  <c r="F72" i="100"/>
  <c r="G72" i="100" s="1"/>
  <c r="F68" i="100"/>
  <c r="G68" i="100" s="1"/>
  <c r="F67" i="100"/>
  <c r="G67" i="100" s="1"/>
  <c r="F63" i="100"/>
  <c r="G63" i="100" s="1"/>
  <c r="B21" i="100"/>
  <c r="F110" i="100"/>
  <c r="G110" i="100" s="1"/>
  <c r="F102" i="100"/>
  <c r="G102" i="100" s="1"/>
  <c r="F90" i="100"/>
  <c r="G90" i="100" s="1"/>
  <c r="F89" i="100"/>
  <c r="G89" i="100" s="1"/>
  <c r="F86" i="100"/>
  <c r="G86" i="100" s="1"/>
  <c r="F85" i="100"/>
  <c r="G85" i="100" s="1"/>
  <c r="F82" i="100"/>
  <c r="G82" i="100" s="1"/>
  <c r="F81" i="100"/>
  <c r="G81" i="100" s="1"/>
  <c r="F78" i="100"/>
  <c r="G78" i="100" s="1"/>
  <c r="F77" i="100"/>
  <c r="G77" i="100" s="1"/>
  <c r="F74" i="100"/>
  <c r="G74" i="100" s="1"/>
  <c r="F73" i="100"/>
  <c r="G73" i="100" s="1"/>
  <c r="F70" i="100"/>
  <c r="G70" i="100" s="1"/>
  <c r="F69" i="100"/>
  <c r="G69" i="100" s="1"/>
  <c r="F66" i="100"/>
  <c r="G66" i="100" s="1"/>
  <c r="F96" i="100"/>
  <c r="G96" i="100" s="1"/>
  <c r="F106" i="100"/>
  <c r="G106" i="100" s="1"/>
  <c r="F64" i="100"/>
  <c r="G64" i="100" s="1"/>
  <c r="B18" i="100"/>
  <c r="B19" i="100"/>
  <c r="B20" i="100"/>
  <c r="U22" i="100"/>
  <c r="U23" i="100"/>
  <c r="U27" i="100"/>
  <c r="J123" i="100"/>
  <c r="J122" i="100"/>
  <c r="I58" i="99"/>
  <c r="I57" i="99"/>
  <c r="U9" i="99"/>
  <c r="V9" i="99" s="1"/>
  <c r="H57" i="99"/>
  <c r="U5" i="99"/>
  <c r="V5" i="99" s="1"/>
  <c r="H58" i="99"/>
  <c r="B23" i="99"/>
  <c r="B20" i="99"/>
  <c r="R25" i="99"/>
  <c r="F27" i="99"/>
  <c r="B21" i="99"/>
  <c r="I120" i="99"/>
  <c r="J120" i="99"/>
  <c r="B13" i="99" s="1"/>
  <c r="F113" i="99"/>
  <c r="G113" i="99" s="1"/>
  <c r="F109" i="99"/>
  <c r="G109" i="99" s="1"/>
  <c r="F105" i="99"/>
  <c r="G105" i="99" s="1"/>
  <c r="F101" i="99"/>
  <c r="G101" i="99" s="1"/>
  <c r="F95" i="99"/>
  <c r="G95" i="99" s="1"/>
  <c r="F91" i="99"/>
  <c r="G91" i="99" s="1"/>
  <c r="F87" i="99"/>
  <c r="G87" i="99" s="1"/>
  <c r="F83" i="99"/>
  <c r="G83" i="99" s="1"/>
  <c r="F79" i="99"/>
  <c r="G79" i="99" s="1"/>
  <c r="F75" i="99"/>
  <c r="G75" i="99" s="1"/>
  <c r="F71" i="99"/>
  <c r="G71" i="99" s="1"/>
  <c r="F111" i="99"/>
  <c r="G111" i="99" s="1"/>
  <c r="F107" i="99"/>
  <c r="G107" i="99" s="1"/>
  <c r="F103" i="99"/>
  <c r="G103" i="99" s="1"/>
  <c r="F99" i="99"/>
  <c r="G99" i="99" s="1"/>
  <c r="F97" i="99"/>
  <c r="G97" i="99" s="1"/>
  <c r="F112" i="99"/>
  <c r="G112" i="99" s="1"/>
  <c r="F108" i="99"/>
  <c r="G108" i="99" s="1"/>
  <c r="F104" i="99"/>
  <c r="G104" i="99" s="1"/>
  <c r="F100" i="99"/>
  <c r="G100" i="99" s="1"/>
  <c r="F96" i="99"/>
  <c r="G96" i="99" s="1"/>
  <c r="F90" i="99"/>
  <c r="G90" i="99" s="1"/>
  <c r="F89" i="99"/>
  <c r="G89" i="99" s="1"/>
  <c r="F86" i="99"/>
  <c r="G86" i="99" s="1"/>
  <c r="F85" i="99"/>
  <c r="G85" i="99" s="1"/>
  <c r="F82" i="99"/>
  <c r="G82" i="99" s="1"/>
  <c r="F81" i="99"/>
  <c r="G81" i="99" s="1"/>
  <c r="F78" i="99"/>
  <c r="G78" i="99" s="1"/>
  <c r="F77" i="99"/>
  <c r="G77" i="99" s="1"/>
  <c r="F74" i="99"/>
  <c r="G74" i="99" s="1"/>
  <c r="F73" i="99"/>
  <c r="G73" i="99" s="1"/>
  <c r="F70" i="99"/>
  <c r="G70" i="99" s="1"/>
  <c r="F69" i="99"/>
  <c r="G69" i="99" s="1"/>
  <c r="F66" i="99"/>
  <c r="G66" i="99" s="1"/>
  <c r="F110" i="99"/>
  <c r="G110" i="99" s="1"/>
  <c r="F102" i="99"/>
  <c r="G102" i="99" s="1"/>
  <c r="F93" i="99"/>
  <c r="G93" i="99" s="1"/>
  <c r="F65" i="99"/>
  <c r="G65" i="99" s="1"/>
  <c r="F106" i="99"/>
  <c r="G106" i="99" s="1"/>
  <c r="F98" i="99"/>
  <c r="G98" i="99" s="1"/>
  <c r="F94" i="99"/>
  <c r="G94" i="99" s="1"/>
  <c r="F92" i="99"/>
  <c r="G92" i="99" s="1"/>
  <c r="F88" i="99"/>
  <c r="G88" i="99" s="1"/>
  <c r="F84" i="99"/>
  <c r="G84" i="99" s="1"/>
  <c r="F80" i="99"/>
  <c r="G80" i="99" s="1"/>
  <c r="F76" i="99"/>
  <c r="G76" i="99" s="1"/>
  <c r="F72" i="99"/>
  <c r="G72" i="99" s="1"/>
  <c r="F68" i="99"/>
  <c r="G68" i="99" s="1"/>
  <c r="F67" i="99"/>
  <c r="G67" i="99" s="1"/>
  <c r="F63" i="99"/>
  <c r="G63" i="99" s="1"/>
  <c r="B18" i="99"/>
  <c r="C21" i="99"/>
  <c r="R26" i="99"/>
  <c r="F64" i="99"/>
  <c r="G64" i="99" s="1"/>
  <c r="F28" i="99"/>
  <c r="G57" i="98"/>
  <c r="U7" i="98"/>
  <c r="V7" i="98" s="1"/>
  <c r="F68" i="98"/>
  <c r="G68" i="98" s="1"/>
  <c r="C22" i="98"/>
  <c r="I58" i="98" s="1"/>
  <c r="B20" i="98"/>
  <c r="R26" i="98"/>
  <c r="B27" i="98" s="1"/>
  <c r="B37" i="98"/>
  <c r="B38" i="98" s="1"/>
  <c r="X14" i="98" s="1"/>
  <c r="U14" i="98"/>
  <c r="F113" i="98"/>
  <c r="G113" i="98" s="1"/>
  <c r="F109" i="98"/>
  <c r="G109" i="98" s="1"/>
  <c r="F105" i="98"/>
  <c r="G105" i="98" s="1"/>
  <c r="F101" i="98"/>
  <c r="G101" i="98" s="1"/>
  <c r="F95" i="98"/>
  <c r="G95" i="98" s="1"/>
  <c r="F91" i="98"/>
  <c r="G91" i="98" s="1"/>
  <c r="F87" i="98"/>
  <c r="G87" i="98" s="1"/>
  <c r="F83" i="98"/>
  <c r="G83" i="98" s="1"/>
  <c r="F79" i="98"/>
  <c r="G79" i="98" s="1"/>
  <c r="F75" i="98"/>
  <c r="G75" i="98" s="1"/>
  <c r="F71" i="98"/>
  <c r="G71" i="98" s="1"/>
  <c r="F111" i="98"/>
  <c r="G111" i="98" s="1"/>
  <c r="F107" i="98"/>
  <c r="G107" i="98" s="1"/>
  <c r="F103" i="98"/>
  <c r="G103" i="98" s="1"/>
  <c r="F99" i="98"/>
  <c r="G99" i="98" s="1"/>
  <c r="F97" i="98"/>
  <c r="G97" i="98" s="1"/>
  <c r="F93" i="98"/>
  <c r="G93" i="98" s="1"/>
  <c r="F89" i="98"/>
  <c r="G89" i="98" s="1"/>
  <c r="F85" i="98"/>
  <c r="G85" i="98" s="1"/>
  <c r="F81" i="98"/>
  <c r="G81" i="98" s="1"/>
  <c r="F77" i="98"/>
  <c r="G77" i="98" s="1"/>
  <c r="F73" i="98"/>
  <c r="G73" i="98" s="1"/>
  <c r="F65" i="98"/>
  <c r="G65" i="98" s="1"/>
  <c r="B22" i="98"/>
  <c r="B19" i="98"/>
  <c r="F112" i="98"/>
  <c r="G112" i="98" s="1"/>
  <c r="F110" i="98"/>
  <c r="G110" i="98" s="1"/>
  <c r="F108" i="98"/>
  <c r="G108" i="98" s="1"/>
  <c r="F106" i="98"/>
  <c r="G106" i="98" s="1"/>
  <c r="F104" i="98"/>
  <c r="G104" i="98" s="1"/>
  <c r="F102" i="98"/>
  <c r="G102" i="98" s="1"/>
  <c r="F100" i="98"/>
  <c r="G100" i="98" s="1"/>
  <c r="F98" i="98"/>
  <c r="G98" i="98" s="1"/>
  <c r="F94" i="98"/>
  <c r="G94" i="98" s="1"/>
  <c r="F90" i="98"/>
  <c r="G90" i="98" s="1"/>
  <c r="F96" i="98"/>
  <c r="G96" i="98" s="1"/>
  <c r="F92" i="98"/>
  <c r="G92" i="98" s="1"/>
  <c r="F88" i="98"/>
  <c r="G88" i="98" s="1"/>
  <c r="F84" i="98"/>
  <c r="G84" i="98" s="1"/>
  <c r="F80" i="98"/>
  <c r="G80" i="98" s="1"/>
  <c r="F76" i="98"/>
  <c r="G76" i="98" s="1"/>
  <c r="F72" i="98"/>
  <c r="G72" i="98" s="1"/>
  <c r="F69" i="98"/>
  <c r="G69" i="98" s="1"/>
  <c r="F66" i="98"/>
  <c r="G66" i="98" s="1"/>
  <c r="B18" i="98"/>
  <c r="B21" i="98"/>
  <c r="G58" i="98"/>
  <c r="F63" i="98"/>
  <c r="G63" i="98" s="1"/>
  <c r="F67" i="98"/>
  <c r="G67" i="98" s="1"/>
  <c r="F70" i="98"/>
  <c r="G70" i="98" s="1"/>
  <c r="F74" i="98"/>
  <c r="G74" i="98" s="1"/>
  <c r="F78" i="98"/>
  <c r="G78" i="98" s="1"/>
  <c r="F82" i="98"/>
  <c r="G82" i="98" s="1"/>
  <c r="F86" i="98"/>
  <c r="G86" i="98" s="1"/>
  <c r="I120" i="98"/>
  <c r="J120" i="98"/>
  <c r="J122" i="98" s="1"/>
  <c r="R25" i="98"/>
  <c r="R27" i="98"/>
  <c r="B30" i="98" s="1"/>
  <c r="F27" i="98"/>
  <c r="E30" i="98"/>
  <c r="E31" i="98"/>
  <c r="J123" i="98"/>
  <c r="R26" i="97"/>
  <c r="B18" i="97"/>
  <c r="B19" i="97"/>
  <c r="B21" i="97"/>
  <c r="F68" i="97"/>
  <c r="G68" i="97" s="1"/>
  <c r="F72" i="97"/>
  <c r="G72" i="97" s="1"/>
  <c r="F76" i="97"/>
  <c r="G76" i="97" s="1"/>
  <c r="F80" i="97"/>
  <c r="G80" i="97" s="1"/>
  <c r="F84" i="97"/>
  <c r="G84" i="97" s="1"/>
  <c r="F88" i="97"/>
  <c r="G88" i="97" s="1"/>
  <c r="F113" i="97"/>
  <c r="G113" i="97" s="1"/>
  <c r="F109" i="97"/>
  <c r="G109" i="97" s="1"/>
  <c r="F105" i="97"/>
  <c r="G105" i="97" s="1"/>
  <c r="F101" i="97"/>
  <c r="G101" i="97" s="1"/>
  <c r="F95" i="97"/>
  <c r="G95" i="97" s="1"/>
  <c r="F91" i="97"/>
  <c r="G91" i="97" s="1"/>
  <c r="F87" i="97"/>
  <c r="G87" i="97" s="1"/>
  <c r="F83" i="97"/>
  <c r="G83" i="97" s="1"/>
  <c r="F79" i="97"/>
  <c r="G79" i="97" s="1"/>
  <c r="F75" i="97"/>
  <c r="G75" i="97" s="1"/>
  <c r="F71" i="97"/>
  <c r="G71" i="97" s="1"/>
  <c r="F111" i="97"/>
  <c r="G111" i="97" s="1"/>
  <c r="F107" i="97"/>
  <c r="G107" i="97" s="1"/>
  <c r="F98" i="97"/>
  <c r="G98" i="97" s="1"/>
  <c r="F97" i="97"/>
  <c r="G97" i="97" s="1"/>
  <c r="F94" i="97"/>
  <c r="G94" i="97" s="1"/>
  <c r="F93" i="97"/>
  <c r="G93" i="97" s="1"/>
  <c r="F90" i="97"/>
  <c r="G90" i="97" s="1"/>
  <c r="F89" i="97"/>
  <c r="G89" i="97" s="1"/>
  <c r="F86" i="97"/>
  <c r="G86" i="97" s="1"/>
  <c r="F85" i="97"/>
  <c r="G85" i="97" s="1"/>
  <c r="F82" i="97"/>
  <c r="G82" i="97" s="1"/>
  <c r="F81" i="97"/>
  <c r="G81" i="97" s="1"/>
  <c r="F78" i="97"/>
  <c r="G78" i="97" s="1"/>
  <c r="F77" i="97"/>
  <c r="G77" i="97" s="1"/>
  <c r="F74" i="97"/>
  <c r="G74" i="97" s="1"/>
  <c r="F73" i="97"/>
  <c r="G73" i="97" s="1"/>
  <c r="F70" i="97"/>
  <c r="G70" i="97" s="1"/>
  <c r="F69" i="97"/>
  <c r="G69" i="97" s="1"/>
  <c r="F66" i="97"/>
  <c r="G66" i="97" s="1"/>
  <c r="C22" i="97"/>
  <c r="F103" i="97"/>
  <c r="G103" i="97" s="1"/>
  <c r="F100" i="97"/>
  <c r="G100" i="97" s="1"/>
  <c r="F65" i="97"/>
  <c r="G65" i="97" s="1"/>
  <c r="F102" i="97"/>
  <c r="G102" i="97" s="1"/>
  <c r="C21" i="97"/>
  <c r="B22" i="97"/>
  <c r="E31" i="97"/>
  <c r="R27" i="97"/>
  <c r="B30" i="97" s="1"/>
  <c r="B36" i="97"/>
  <c r="B37" i="97"/>
  <c r="F64" i="97"/>
  <c r="G64" i="97" s="1"/>
  <c r="F96" i="97"/>
  <c r="G96" i="97" s="1"/>
  <c r="I120" i="97"/>
  <c r="J120" i="97"/>
  <c r="B13" i="97" s="1"/>
  <c r="F27" i="97"/>
  <c r="E30" i="97"/>
  <c r="B27" i="96"/>
  <c r="U37" i="96"/>
  <c r="U26" i="96"/>
  <c r="U20" i="96"/>
  <c r="U16" i="96"/>
  <c r="U19" i="96"/>
  <c r="U14" i="96"/>
  <c r="U34" i="96"/>
  <c r="U36" i="96"/>
  <c r="B20" i="96"/>
  <c r="B21" i="96"/>
  <c r="B22" i="96"/>
  <c r="E31" i="96"/>
  <c r="F70" i="96"/>
  <c r="G70" i="96" s="1"/>
  <c r="F74" i="96"/>
  <c r="G74" i="96" s="1"/>
  <c r="F78" i="96"/>
  <c r="G78" i="96" s="1"/>
  <c r="F80" i="96"/>
  <c r="G80" i="96" s="1"/>
  <c r="I120" i="96"/>
  <c r="J120" i="96"/>
  <c r="F113" i="96"/>
  <c r="G113" i="96" s="1"/>
  <c r="F109" i="96"/>
  <c r="G109" i="96" s="1"/>
  <c r="F105" i="96"/>
  <c r="G105" i="96" s="1"/>
  <c r="F101" i="96"/>
  <c r="G101" i="96" s="1"/>
  <c r="F95" i="96"/>
  <c r="G95" i="96" s="1"/>
  <c r="F91" i="96"/>
  <c r="G91" i="96" s="1"/>
  <c r="F87" i="96"/>
  <c r="G87" i="96" s="1"/>
  <c r="F83" i="96"/>
  <c r="G83" i="96" s="1"/>
  <c r="F111" i="96"/>
  <c r="G111" i="96" s="1"/>
  <c r="F107" i="96"/>
  <c r="G107" i="96" s="1"/>
  <c r="F103" i="96"/>
  <c r="G103" i="96" s="1"/>
  <c r="F99" i="96"/>
  <c r="G99" i="96" s="1"/>
  <c r="F97" i="96"/>
  <c r="G97" i="96" s="1"/>
  <c r="F93" i="96"/>
  <c r="G93" i="96" s="1"/>
  <c r="F89" i="96"/>
  <c r="G89" i="96" s="1"/>
  <c r="F85" i="96"/>
  <c r="G85" i="96" s="1"/>
  <c r="F81" i="96"/>
  <c r="G81" i="96" s="1"/>
  <c r="F77" i="96"/>
  <c r="G77" i="96" s="1"/>
  <c r="F73" i="96"/>
  <c r="G73" i="96" s="1"/>
  <c r="F69" i="96"/>
  <c r="G69" i="96" s="1"/>
  <c r="F79" i="96"/>
  <c r="G79" i="96" s="1"/>
  <c r="F76" i="96"/>
  <c r="G76" i="96" s="1"/>
  <c r="F75" i="96"/>
  <c r="G75" i="96" s="1"/>
  <c r="F72" i="96"/>
  <c r="G72" i="96" s="1"/>
  <c r="F71" i="96"/>
  <c r="G71" i="96" s="1"/>
  <c r="F66" i="96"/>
  <c r="G66" i="96" s="1"/>
  <c r="C21" i="96"/>
  <c r="B18" i="96"/>
  <c r="F96" i="96"/>
  <c r="G96" i="96" s="1"/>
  <c r="F92" i="96"/>
  <c r="G92" i="96" s="1"/>
  <c r="F88" i="96"/>
  <c r="G88" i="96" s="1"/>
  <c r="F68" i="96"/>
  <c r="G68" i="96" s="1"/>
  <c r="F64" i="96"/>
  <c r="G64" i="96" s="1"/>
  <c r="F112" i="96"/>
  <c r="G112" i="96" s="1"/>
  <c r="F110" i="96"/>
  <c r="G110" i="96" s="1"/>
  <c r="F108" i="96"/>
  <c r="G108" i="96" s="1"/>
  <c r="F106" i="96"/>
  <c r="G106" i="96" s="1"/>
  <c r="F104" i="96"/>
  <c r="G104" i="96" s="1"/>
  <c r="F102" i="96"/>
  <c r="G102" i="96" s="1"/>
  <c r="F100" i="96"/>
  <c r="G100" i="96" s="1"/>
  <c r="F98" i="96"/>
  <c r="G98" i="96" s="1"/>
  <c r="F94" i="96"/>
  <c r="G94" i="96" s="1"/>
  <c r="C22" i="96"/>
  <c r="R25" i="96"/>
  <c r="B29" i="96" s="1"/>
  <c r="R27" i="96"/>
  <c r="B30" i="96" s="1"/>
  <c r="F65" i="96"/>
  <c r="G65" i="96" s="1"/>
  <c r="E30" i="96"/>
  <c r="F82" i="96"/>
  <c r="G82" i="96" s="1"/>
  <c r="F86" i="96"/>
  <c r="G86" i="96" s="1"/>
  <c r="F90" i="96"/>
  <c r="G90" i="96" s="1"/>
  <c r="F27" i="96"/>
  <c r="F63" i="96"/>
  <c r="G63" i="96" s="1"/>
  <c r="F67" i="96"/>
  <c r="G67" i="96" s="1"/>
  <c r="B27" i="95"/>
  <c r="U14" i="95"/>
  <c r="C22" i="95"/>
  <c r="R25" i="95"/>
  <c r="B29" i="95" s="1"/>
  <c r="F28" i="95"/>
  <c r="E31" i="95"/>
  <c r="E30" i="95"/>
  <c r="F27" i="95"/>
  <c r="F64" i="95"/>
  <c r="G64" i="95" s="1"/>
  <c r="B21" i="95"/>
  <c r="R27" i="95"/>
  <c r="B30" i="95" s="1"/>
  <c r="F72" i="95"/>
  <c r="G72" i="95" s="1"/>
  <c r="F80" i="95"/>
  <c r="G80" i="95" s="1"/>
  <c r="I120" i="95"/>
  <c r="J120" i="95"/>
  <c r="F113" i="95"/>
  <c r="G113" i="95" s="1"/>
  <c r="F109" i="95"/>
  <c r="G109" i="95" s="1"/>
  <c r="F105" i="95"/>
  <c r="G105" i="95" s="1"/>
  <c r="F101" i="95"/>
  <c r="G101" i="95" s="1"/>
  <c r="F95" i="95"/>
  <c r="G95" i="95" s="1"/>
  <c r="F91" i="95"/>
  <c r="G91" i="95" s="1"/>
  <c r="F87" i="95"/>
  <c r="G87" i="95" s="1"/>
  <c r="F83" i="95"/>
  <c r="G83" i="95" s="1"/>
  <c r="F79" i="95"/>
  <c r="G79" i="95" s="1"/>
  <c r="F75" i="95"/>
  <c r="G75" i="95" s="1"/>
  <c r="F71" i="95"/>
  <c r="G71" i="95" s="1"/>
  <c r="F111" i="95"/>
  <c r="G111" i="95" s="1"/>
  <c r="F107" i="95"/>
  <c r="G107" i="95" s="1"/>
  <c r="F103" i="95"/>
  <c r="G103" i="95" s="1"/>
  <c r="F99" i="95"/>
  <c r="G99" i="95" s="1"/>
  <c r="F97" i="95"/>
  <c r="G97" i="95" s="1"/>
  <c r="F93" i="95"/>
  <c r="G93" i="95" s="1"/>
  <c r="F112" i="95"/>
  <c r="G112" i="95" s="1"/>
  <c r="F108" i="95"/>
  <c r="G108" i="95" s="1"/>
  <c r="F104" i="95"/>
  <c r="G104" i="95" s="1"/>
  <c r="F100" i="95"/>
  <c r="G100" i="95" s="1"/>
  <c r="F94" i="95"/>
  <c r="G94" i="95" s="1"/>
  <c r="F90" i="95"/>
  <c r="G90" i="95" s="1"/>
  <c r="F65" i="95"/>
  <c r="G65" i="95" s="1"/>
  <c r="F110" i="95"/>
  <c r="G110" i="95" s="1"/>
  <c r="F102" i="95"/>
  <c r="G102" i="95" s="1"/>
  <c r="F96" i="95"/>
  <c r="G96" i="95" s="1"/>
  <c r="F92" i="95"/>
  <c r="G92" i="95" s="1"/>
  <c r="F106" i="95"/>
  <c r="G106" i="95" s="1"/>
  <c r="F98" i="95"/>
  <c r="G98" i="95" s="1"/>
  <c r="F89" i="95"/>
  <c r="G89" i="95" s="1"/>
  <c r="F86" i="95"/>
  <c r="G86" i="95" s="1"/>
  <c r="F85" i="95"/>
  <c r="G85" i="95" s="1"/>
  <c r="F82" i="95"/>
  <c r="G82" i="95" s="1"/>
  <c r="F81" i="95"/>
  <c r="G81" i="95" s="1"/>
  <c r="F78" i="95"/>
  <c r="G78" i="95" s="1"/>
  <c r="F77" i="95"/>
  <c r="G77" i="95" s="1"/>
  <c r="F74" i="95"/>
  <c r="G74" i="95" s="1"/>
  <c r="F73" i="95"/>
  <c r="G73" i="95" s="1"/>
  <c r="F70" i="95"/>
  <c r="G70" i="95" s="1"/>
  <c r="F69" i="95"/>
  <c r="G69" i="95" s="1"/>
  <c r="F66" i="95"/>
  <c r="G66" i="95" s="1"/>
  <c r="B18" i="95"/>
  <c r="C21" i="95"/>
  <c r="F63" i="95"/>
  <c r="G63" i="95" s="1"/>
  <c r="F67" i="95"/>
  <c r="G67" i="95" s="1"/>
  <c r="B22" i="95"/>
  <c r="B38" i="95"/>
  <c r="X14" i="95" s="1"/>
  <c r="F76" i="95"/>
  <c r="G76" i="95" s="1"/>
  <c r="F84" i="95"/>
  <c r="G84" i="95" s="1"/>
  <c r="U34" i="93"/>
  <c r="U14" i="93"/>
  <c r="F57" i="93"/>
  <c r="F58" i="93"/>
  <c r="U3" i="93"/>
  <c r="V3" i="93" s="1"/>
  <c r="R27" i="93"/>
  <c r="B30" i="93" s="1"/>
  <c r="R26" i="93"/>
  <c r="B19" i="93"/>
  <c r="B22" i="93"/>
  <c r="F66" i="93"/>
  <c r="G66" i="93" s="1"/>
  <c r="I57" i="93"/>
  <c r="I58" i="93"/>
  <c r="F27" i="93"/>
  <c r="E30" i="93"/>
  <c r="I120" i="93"/>
  <c r="J120" i="93"/>
  <c r="B13" i="93" s="1"/>
  <c r="B38" i="93"/>
  <c r="X14" i="93" s="1"/>
  <c r="F113" i="93"/>
  <c r="G113" i="93" s="1"/>
  <c r="F109" i="93"/>
  <c r="G109" i="93" s="1"/>
  <c r="F105" i="93"/>
  <c r="G105" i="93" s="1"/>
  <c r="F101" i="93"/>
  <c r="G101" i="93" s="1"/>
  <c r="F95" i="93"/>
  <c r="G95" i="93" s="1"/>
  <c r="F91" i="93"/>
  <c r="G91" i="93" s="1"/>
  <c r="F87" i="93"/>
  <c r="G87" i="93" s="1"/>
  <c r="F83" i="93"/>
  <c r="G83" i="93" s="1"/>
  <c r="F111" i="93"/>
  <c r="G111" i="93" s="1"/>
  <c r="F107" i="93"/>
  <c r="G107" i="93" s="1"/>
  <c r="F103" i="93"/>
  <c r="G103" i="93" s="1"/>
  <c r="F99" i="93"/>
  <c r="G99" i="93" s="1"/>
  <c r="F97" i="93"/>
  <c r="G97" i="93" s="1"/>
  <c r="F93" i="93"/>
  <c r="G93" i="93" s="1"/>
  <c r="F89" i="93"/>
  <c r="G89" i="93" s="1"/>
  <c r="F85" i="93"/>
  <c r="G85" i="93" s="1"/>
  <c r="F81" i="93"/>
  <c r="G81" i="93" s="1"/>
  <c r="F77" i="93"/>
  <c r="G77" i="93" s="1"/>
  <c r="F73" i="93"/>
  <c r="G73" i="93" s="1"/>
  <c r="F69" i="93"/>
  <c r="G69" i="93" s="1"/>
  <c r="F68" i="93"/>
  <c r="G68" i="93" s="1"/>
  <c r="F64" i="93"/>
  <c r="G64" i="93" s="1"/>
  <c r="F96" i="93"/>
  <c r="G96" i="93" s="1"/>
  <c r="F92" i="93"/>
  <c r="G92" i="93" s="1"/>
  <c r="F88" i="93"/>
  <c r="G88" i="93" s="1"/>
  <c r="F84" i="93"/>
  <c r="G84" i="93" s="1"/>
  <c r="F78" i="93"/>
  <c r="G78" i="93" s="1"/>
  <c r="F74" i="93"/>
  <c r="G74" i="93" s="1"/>
  <c r="F70" i="93"/>
  <c r="G70" i="93" s="1"/>
  <c r="F67" i="93"/>
  <c r="G67" i="93" s="1"/>
  <c r="F63" i="93"/>
  <c r="G63" i="93" s="1"/>
  <c r="F80" i="93"/>
  <c r="G80" i="93" s="1"/>
  <c r="F79" i="93"/>
  <c r="G79" i="93" s="1"/>
  <c r="F76" i="93"/>
  <c r="G76" i="93" s="1"/>
  <c r="F75" i="93"/>
  <c r="G75" i="93" s="1"/>
  <c r="F72" i="93"/>
  <c r="G72" i="93" s="1"/>
  <c r="F71" i="93"/>
  <c r="G71" i="93" s="1"/>
  <c r="F112" i="93"/>
  <c r="G112" i="93" s="1"/>
  <c r="F110" i="93"/>
  <c r="G110" i="93" s="1"/>
  <c r="F108" i="93"/>
  <c r="G108" i="93" s="1"/>
  <c r="F106" i="93"/>
  <c r="G106" i="93" s="1"/>
  <c r="F104" i="93"/>
  <c r="G104" i="93" s="1"/>
  <c r="F102" i="93"/>
  <c r="G102" i="93" s="1"/>
  <c r="F100" i="93"/>
  <c r="G100" i="93" s="1"/>
  <c r="F98" i="93"/>
  <c r="G98" i="93" s="1"/>
  <c r="F94" i="93"/>
  <c r="G94" i="93" s="1"/>
  <c r="F90" i="93"/>
  <c r="G90" i="93" s="1"/>
  <c r="F86" i="93"/>
  <c r="G86" i="93" s="1"/>
  <c r="F82" i="93"/>
  <c r="G82" i="93" s="1"/>
  <c r="F65" i="93"/>
  <c r="G65" i="93" s="1"/>
  <c r="B18" i="93"/>
  <c r="C21" i="93"/>
  <c r="F28" i="93"/>
  <c r="U14" i="92"/>
  <c r="I120" i="92"/>
  <c r="J120" i="92"/>
  <c r="B13" i="92" s="1"/>
  <c r="F113" i="92"/>
  <c r="G113" i="92" s="1"/>
  <c r="F109" i="92"/>
  <c r="G109" i="92" s="1"/>
  <c r="F105" i="92"/>
  <c r="G105" i="92" s="1"/>
  <c r="F101" i="92"/>
  <c r="G101" i="92" s="1"/>
  <c r="F95" i="92"/>
  <c r="G95" i="92" s="1"/>
  <c r="F91" i="92"/>
  <c r="G91" i="92" s="1"/>
  <c r="F87" i="92"/>
  <c r="G87" i="92" s="1"/>
  <c r="F83" i="92"/>
  <c r="G83" i="92" s="1"/>
  <c r="F111" i="92"/>
  <c r="G111" i="92" s="1"/>
  <c r="F107" i="92"/>
  <c r="G107" i="92" s="1"/>
  <c r="F103" i="92"/>
  <c r="G103" i="92" s="1"/>
  <c r="F99" i="92"/>
  <c r="G99" i="92" s="1"/>
  <c r="F97" i="92"/>
  <c r="G97" i="92" s="1"/>
  <c r="F93" i="92"/>
  <c r="G93" i="92" s="1"/>
  <c r="F89" i="92"/>
  <c r="G89" i="92" s="1"/>
  <c r="F85" i="92"/>
  <c r="G85" i="92" s="1"/>
  <c r="F81" i="92"/>
  <c r="G81" i="92" s="1"/>
  <c r="F77" i="92"/>
  <c r="G77" i="92" s="1"/>
  <c r="F73" i="92"/>
  <c r="G73" i="92" s="1"/>
  <c r="F69" i="92"/>
  <c r="G69" i="92" s="1"/>
  <c r="F78" i="92"/>
  <c r="G78" i="92" s="1"/>
  <c r="F74" i="92"/>
  <c r="G74" i="92" s="1"/>
  <c r="F70" i="92"/>
  <c r="G70" i="92" s="1"/>
  <c r="F67" i="92"/>
  <c r="G67" i="92" s="1"/>
  <c r="F96" i="92"/>
  <c r="G96" i="92" s="1"/>
  <c r="F92" i="92"/>
  <c r="G92" i="92" s="1"/>
  <c r="F88" i="92"/>
  <c r="G88" i="92" s="1"/>
  <c r="F84" i="92"/>
  <c r="G84" i="92" s="1"/>
  <c r="F80" i="92"/>
  <c r="G80" i="92" s="1"/>
  <c r="F79" i="92"/>
  <c r="G79" i="92" s="1"/>
  <c r="F76" i="92"/>
  <c r="G76" i="92" s="1"/>
  <c r="F75" i="92"/>
  <c r="G75" i="92" s="1"/>
  <c r="F72" i="92"/>
  <c r="G72" i="92" s="1"/>
  <c r="F71" i="92"/>
  <c r="G71" i="92" s="1"/>
  <c r="F66" i="92"/>
  <c r="G66" i="92" s="1"/>
  <c r="F112" i="92"/>
  <c r="G112" i="92" s="1"/>
  <c r="F110" i="92"/>
  <c r="G110" i="92" s="1"/>
  <c r="F108" i="92"/>
  <c r="G108" i="92" s="1"/>
  <c r="F106" i="92"/>
  <c r="G106" i="92" s="1"/>
  <c r="F104" i="92"/>
  <c r="G104" i="92" s="1"/>
  <c r="B18" i="92"/>
  <c r="C21" i="92"/>
  <c r="R26" i="92"/>
  <c r="R27" i="92"/>
  <c r="B30" i="92" s="1"/>
  <c r="F63" i="92"/>
  <c r="G63" i="92" s="1"/>
  <c r="H58" i="92"/>
  <c r="F65" i="92"/>
  <c r="G65" i="92" s="1"/>
  <c r="B20" i="92"/>
  <c r="C22" i="92"/>
  <c r="E31" i="92"/>
  <c r="E30" i="92"/>
  <c r="F27" i="92"/>
  <c r="H57" i="92"/>
  <c r="F82" i="92"/>
  <c r="G82" i="92" s="1"/>
  <c r="F86" i="92"/>
  <c r="G86" i="92" s="1"/>
  <c r="F90" i="92"/>
  <c r="G90" i="92" s="1"/>
  <c r="F94" i="92"/>
  <c r="G94" i="92" s="1"/>
  <c r="F98" i="92"/>
  <c r="G98" i="92" s="1"/>
  <c r="F100" i="92"/>
  <c r="G100" i="92" s="1"/>
  <c r="F102" i="92"/>
  <c r="G102" i="92" s="1"/>
  <c r="B21" i="92"/>
  <c r="F64" i="92"/>
  <c r="G64" i="92" s="1"/>
  <c r="F68" i="92"/>
  <c r="G68" i="92" s="1"/>
  <c r="J123" i="92"/>
  <c r="F76" i="91"/>
  <c r="G76" i="91" s="1"/>
  <c r="R26" i="91"/>
  <c r="B27" i="91" s="1"/>
  <c r="U14" i="91"/>
  <c r="C22" i="91"/>
  <c r="F72" i="91"/>
  <c r="G72" i="91" s="1"/>
  <c r="R25" i="91"/>
  <c r="B29" i="91" s="1"/>
  <c r="R27" i="91"/>
  <c r="B30" i="91" s="1"/>
  <c r="F28" i="91"/>
  <c r="F71" i="91"/>
  <c r="G71" i="91" s="1"/>
  <c r="B18" i="91"/>
  <c r="B19" i="91"/>
  <c r="B20" i="91"/>
  <c r="E30" i="91"/>
  <c r="I120" i="91"/>
  <c r="J120" i="91"/>
  <c r="B38" i="91"/>
  <c r="X14" i="91" s="1"/>
  <c r="F113" i="91"/>
  <c r="G113" i="91" s="1"/>
  <c r="F109" i="91"/>
  <c r="G109" i="91" s="1"/>
  <c r="F105" i="91"/>
  <c r="G105" i="91" s="1"/>
  <c r="F101" i="91"/>
  <c r="G101" i="91" s="1"/>
  <c r="F95" i="91"/>
  <c r="G95" i="91" s="1"/>
  <c r="F91" i="91"/>
  <c r="G91" i="91" s="1"/>
  <c r="F87" i="91"/>
  <c r="G87" i="91" s="1"/>
  <c r="F83" i="91"/>
  <c r="G83" i="91" s="1"/>
  <c r="F79" i="91"/>
  <c r="G79" i="91" s="1"/>
  <c r="F111" i="91"/>
  <c r="G111" i="91" s="1"/>
  <c r="F107" i="91"/>
  <c r="G107" i="91" s="1"/>
  <c r="F103" i="91"/>
  <c r="G103" i="91" s="1"/>
  <c r="F99" i="91"/>
  <c r="G99" i="91" s="1"/>
  <c r="F97" i="91"/>
  <c r="G97" i="91" s="1"/>
  <c r="F93" i="91"/>
  <c r="G93" i="91" s="1"/>
  <c r="F89" i="91"/>
  <c r="G89" i="91" s="1"/>
  <c r="F85" i="91"/>
  <c r="G85" i="91" s="1"/>
  <c r="F81" i="91"/>
  <c r="G81" i="91" s="1"/>
  <c r="F77" i="91"/>
  <c r="G77" i="91" s="1"/>
  <c r="F73" i="91"/>
  <c r="G73" i="91" s="1"/>
  <c r="F69" i="91"/>
  <c r="G69" i="91" s="1"/>
  <c r="F68" i="91"/>
  <c r="G68" i="91" s="1"/>
  <c r="F64" i="91"/>
  <c r="G64" i="91" s="1"/>
  <c r="B21" i="91"/>
  <c r="F96" i="91"/>
  <c r="G96" i="91" s="1"/>
  <c r="F92" i="91"/>
  <c r="G92" i="91" s="1"/>
  <c r="F88" i="91"/>
  <c r="G88" i="91" s="1"/>
  <c r="F84" i="91"/>
  <c r="G84" i="91" s="1"/>
  <c r="F80" i="91"/>
  <c r="G80" i="91" s="1"/>
  <c r="F78" i="91"/>
  <c r="G78" i="91" s="1"/>
  <c r="F74" i="91"/>
  <c r="G74" i="91" s="1"/>
  <c r="F70" i="91"/>
  <c r="G70" i="91" s="1"/>
  <c r="F67" i="91"/>
  <c r="G67" i="91" s="1"/>
  <c r="F63" i="91"/>
  <c r="G63" i="91" s="1"/>
  <c r="F112" i="91"/>
  <c r="G112" i="91" s="1"/>
  <c r="F110" i="91"/>
  <c r="G110" i="91" s="1"/>
  <c r="F108" i="91"/>
  <c r="G108" i="91" s="1"/>
  <c r="F106" i="91"/>
  <c r="G106" i="91" s="1"/>
  <c r="F104" i="91"/>
  <c r="G104" i="91" s="1"/>
  <c r="F102" i="91"/>
  <c r="G102" i="91" s="1"/>
  <c r="F100" i="91"/>
  <c r="G100" i="91" s="1"/>
  <c r="F98" i="91"/>
  <c r="G98" i="91" s="1"/>
  <c r="F94" i="91"/>
  <c r="G94" i="91" s="1"/>
  <c r="F90" i="91"/>
  <c r="G90" i="91" s="1"/>
  <c r="F86" i="91"/>
  <c r="G86" i="91" s="1"/>
  <c r="F82" i="91"/>
  <c r="G82" i="91" s="1"/>
  <c r="F65" i="91"/>
  <c r="G65" i="91" s="1"/>
  <c r="C21" i="91"/>
  <c r="B22" i="91"/>
  <c r="F27" i="91"/>
  <c r="F66" i="91"/>
  <c r="G66" i="91" s="1"/>
  <c r="F75" i="91"/>
  <c r="G75" i="91" s="1"/>
  <c r="B38" i="90"/>
  <c r="U34" i="90" s="1"/>
  <c r="T86" i="90" s="1"/>
  <c r="U14" i="90"/>
  <c r="T46" i="90" s="1"/>
  <c r="B20" i="90"/>
  <c r="B19" i="90"/>
  <c r="B22" i="90"/>
  <c r="F74" i="90"/>
  <c r="G74" i="90" s="1"/>
  <c r="F77" i="90"/>
  <c r="G77" i="90" s="1"/>
  <c r="F90" i="90"/>
  <c r="G90" i="90" s="1"/>
  <c r="C22" i="90"/>
  <c r="F94" i="90"/>
  <c r="G94" i="90" s="1"/>
  <c r="F69" i="90"/>
  <c r="G69" i="90" s="1"/>
  <c r="F82" i="90"/>
  <c r="G82" i="90" s="1"/>
  <c r="F85" i="90"/>
  <c r="G85" i="90" s="1"/>
  <c r="F98" i="90"/>
  <c r="G98" i="90" s="1"/>
  <c r="R27" i="90"/>
  <c r="B30" i="90" s="1"/>
  <c r="T87" i="90"/>
  <c r="I120" i="90"/>
  <c r="J120" i="90"/>
  <c r="J123" i="90" s="1"/>
  <c r="U38" i="90"/>
  <c r="U28" i="90"/>
  <c r="F113" i="90"/>
  <c r="G113" i="90" s="1"/>
  <c r="F109" i="90"/>
  <c r="G109" i="90" s="1"/>
  <c r="F105" i="90"/>
  <c r="G105" i="90" s="1"/>
  <c r="F101" i="90"/>
  <c r="G101" i="90" s="1"/>
  <c r="F95" i="90"/>
  <c r="G95" i="90" s="1"/>
  <c r="F91" i="90"/>
  <c r="G91" i="90" s="1"/>
  <c r="F87" i="90"/>
  <c r="G87" i="90" s="1"/>
  <c r="F83" i="90"/>
  <c r="G83" i="90" s="1"/>
  <c r="F79" i="90"/>
  <c r="G79" i="90" s="1"/>
  <c r="F75" i="90"/>
  <c r="G75" i="90" s="1"/>
  <c r="F71" i="90"/>
  <c r="G71" i="90" s="1"/>
  <c r="F111" i="90"/>
  <c r="G111" i="90" s="1"/>
  <c r="F107" i="90"/>
  <c r="G107" i="90" s="1"/>
  <c r="F103" i="90"/>
  <c r="G103" i="90" s="1"/>
  <c r="F112" i="90"/>
  <c r="G112" i="90" s="1"/>
  <c r="F108" i="90"/>
  <c r="G108" i="90" s="1"/>
  <c r="F104" i="90"/>
  <c r="G104" i="90" s="1"/>
  <c r="F100" i="90"/>
  <c r="G100" i="90" s="1"/>
  <c r="F96" i="90"/>
  <c r="G96" i="90" s="1"/>
  <c r="F92" i="90"/>
  <c r="G92" i="90" s="1"/>
  <c r="F97" i="90"/>
  <c r="G97" i="90" s="1"/>
  <c r="F93" i="90"/>
  <c r="G93" i="90" s="1"/>
  <c r="F110" i="90"/>
  <c r="G110" i="90" s="1"/>
  <c r="F102" i="90"/>
  <c r="G102" i="90" s="1"/>
  <c r="F88" i="90"/>
  <c r="G88" i="90" s="1"/>
  <c r="F84" i="90"/>
  <c r="G84" i="90" s="1"/>
  <c r="F80" i="90"/>
  <c r="G80" i="90" s="1"/>
  <c r="F76" i="90"/>
  <c r="G76" i="90" s="1"/>
  <c r="F72" i="90"/>
  <c r="G72" i="90" s="1"/>
  <c r="F68" i="90"/>
  <c r="G68" i="90" s="1"/>
  <c r="F67" i="90"/>
  <c r="G67" i="90" s="1"/>
  <c r="F63" i="90"/>
  <c r="G63" i="90" s="1"/>
  <c r="F106" i="90"/>
  <c r="G106" i="90" s="1"/>
  <c r="F65" i="90"/>
  <c r="G65" i="90" s="1"/>
  <c r="B18" i="90"/>
  <c r="C21" i="90"/>
  <c r="U22" i="90"/>
  <c r="U23" i="90"/>
  <c r="U26" i="90"/>
  <c r="U27" i="90"/>
  <c r="U29" i="90"/>
  <c r="U31" i="90"/>
  <c r="U32" i="90"/>
  <c r="F64" i="90"/>
  <c r="G64" i="90" s="1"/>
  <c r="F66" i="90"/>
  <c r="G66" i="90" s="1"/>
  <c r="F70" i="90"/>
  <c r="G70" i="90" s="1"/>
  <c r="F78" i="90"/>
  <c r="G78" i="90" s="1"/>
  <c r="F86" i="90"/>
  <c r="G86" i="90" s="1"/>
  <c r="F99" i="90"/>
  <c r="G99" i="90" s="1"/>
  <c r="R25" i="90"/>
  <c r="E31" i="90"/>
  <c r="E30" i="90"/>
  <c r="F27" i="90"/>
  <c r="X14" i="90"/>
  <c r="U16" i="90"/>
  <c r="U18" i="90"/>
  <c r="U21" i="90"/>
  <c r="U25" i="90"/>
  <c r="I57" i="90"/>
  <c r="U19" i="90"/>
  <c r="B21" i="90"/>
  <c r="R26" i="90"/>
  <c r="U33" i="90"/>
  <c r="U37" i="90"/>
  <c r="H58" i="90"/>
  <c r="F73" i="90"/>
  <c r="G73" i="90" s="1"/>
  <c r="F81" i="90"/>
  <c r="G81" i="90" s="1"/>
  <c r="F89" i="90"/>
  <c r="G89" i="90" s="1"/>
  <c r="U14" i="89"/>
  <c r="I58" i="89"/>
  <c r="I57" i="89"/>
  <c r="B38" i="89"/>
  <c r="X14" i="89" s="1"/>
  <c r="B21" i="89"/>
  <c r="R26" i="89"/>
  <c r="R27" i="89"/>
  <c r="B30" i="89" s="1"/>
  <c r="F73" i="89"/>
  <c r="G73" i="89" s="1"/>
  <c r="F81" i="89"/>
  <c r="G81" i="89" s="1"/>
  <c r="F89" i="89"/>
  <c r="G89" i="89" s="1"/>
  <c r="I120" i="89"/>
  <c r="J120" i="89"/>
  <c r="F113" i="89"/>
  <c r="G113" i="89" s="1"/>
  <c r="F109" i="89"/>
  <c r="G109" i="89" s="1"/>
  <c r="F105" i="89"/>
  <c r="G105" i="89" s="1"/>
  <c r="F101" i="89"/>
  <c r="G101" i="89" s="1"/>
  <c r="F95" i="89"/>
  <c r="G95" i="89" s="1"/>
  <c r="F91" i="89"/>
  <c r="G91" i="89" s="1"/>
  <c r="F87" i="89"/>
  <c r="G87" i="89" s="1"/>
  <c r="F83" i="89"/>
  <c r="G83" i="89" s="1"/>
  <c r="F79" i="89"/>
  <c r="G79" i="89" s="1"/>
  <c r="F75" i="89"/>
  <c r="G75" i="89" s="1"/>
  <c r="F71" i="89"/>
  <c r="G71" i="89" s="1"/>
  <c r="F111" i="89"/>
  <c r="G111" i="89" s="1"/>
  <c r="F107" i="89"/>
  <c r="G107" i="89" s="1"/>
  <c r="F103" i="89"/>
  <c r="G103" i="89" s="1"/>
  <c r="F100" i="89"/>
  <c r="G100" i="89" s="1"/>
  <c r="F65" i="89"/>
  <c r="G65" i="89" s="1"/>
  <c r="F102" i="89"/>
  <c r="G102" i="89" s="1"/>
  <c r="F64" i="89"/>
  <c r="G64" i="89" s="1"/>
  <c r="F104" i="89"/>
  <c r="G104" i="89" s="1"/>
  <c r="F99" i="89"/>
  <c r="G99" i="89" s="1"/>
  <c r="F96" i="89"/>
  <c r="G96" i="89" s="1"/>
  <c r="F92" i="89"/>
  <c r="G92" i="89" s="1"/>
  <c r="F88" i="89"/>
  <c r="G88" i="89" s="1"/>
  <c r="F84" i="89"/>
  <c r="G84" i="89" s="1"/>
  <c r="F80" i="89"/>
  <c r="G80" i="89" s="1"/>
  <c r="F76" i="89"/>
  <c r="G76" i="89" s="1"/>
  <c r="F72" i="89"/>
  <c r="G72" i="89" s="1"/>
  <c r="F68" i="89"/>
  <c r="G68" i="89" s="1"/>
  <c r="F67" i="89"/>
  <c r="G67" i="89" s="1"/>
  <c r="B18" i="89"/>
  <c r="C21" i="89"/>
  <c r="F63" i="89"/>
  <c r="G63" i="89" s="1"/>
  <c r="F70" i="89"/>
  <c r="G70" i="89" s="1"/>
  <c r="F78" i="89"/>
  <c r="G78" i="89" s="1"/>
  <c r="F86" i="89"/>
  <c r="G86" i="89" s="1"/>
  <c r="F94" i="89"/>
  <c r="G94" i="89" s="1"/>
  <c r="B19" i="89"/>
  <c r="B22" i="89"/>
  <c r="F27" i="89"/>
  <c r="E30" i="89"/>
  <c r="F69" i="89"/>
  <c r="G69" i="89" s="1"/>
  <c r="F77" i="89"/>
  <c r="G77" i="89" s="1"/>
  <c r="F85" i="89"/>
  <c r="G85" i="89" s="1"/>
  <c r="F93" i="89"/>
  <c r="G93" i="89" s="1"/>
  <c r="H57" i="88"/>
  <c r="U5" i="88"/>
  <c r="V5" i="88" s="1"/>
  <c r="H58" i="88"/>
  <c r="U14" i="88"/>
  <c r="B21" i="88"/>
  <c r="R26" i="88"/>
  <c r="R27" i="88"/>
  <c r="B30" i="88" s="1"/>
  <c r="B37" i="88"/>
  <c r="B38" i="88" s="1"/>
  <c r="X14" i="88" s="1"/>
  <c r="I120" i="88"/>
  <c r="J120" i="88"/>
  <c r="B13" i="88" s="1"/>
  <c r="F113" i="88"/>
  <c r="G113" i="88" s="1"/>
  <c r="F109" i="88"/>
  <c r="G109" i="88" s="1"/>
  <c r="F105" i="88"/>
  <c r="G105" i="88" s="1"/>
  <c r="F101" i="88"/>
  <c r="G101" i="88" s="1"/>
  <c r="F95" i="88"/>
  <c r="G95" i="88" s="1"/>
  <c r="F91" i="88"/>
  <c r="G91" i="88" s="1"/>
  <c r="F87" i="88"/>
  <c r="G87" i="88" s="1"/>
  <c r="F83" i="88"/>
  <c r="G83" i="88" s="1"/>
  <c r="F79" i="88"/>
  <c r="G79" i="88" s="1"/>
  <c r="F75" i="88"/>
  <c r="G75" i="88" s="1"/>
  <c r="F71" i="88"/>
  <c r="G71" i="88" s="1"/>
  <c r="F111" i="88"/>
  <c r="G111" i="88" s="1"/>
  <c r="F107" i="88"/>
  <c r="G107" i="88" s="1"/>
  <c r="F103" i="88"/>
  <c r="G103" i="88" s="1"/>
  <c r="F99" i="88"/>
  <c r="G99" i="88" s="1"/>
  <c r="F96" i="88"/>
  <c r="G96" i="88" s="1"/>
  <c r="F92" i="88"/>
  <c r="G92" i="88" s="1"/>
  <c r="F88" i="88"/>
  <c r="G88" i="88" s="1"/>
  <c r="F84" i="88"/>
  <c r="G84" i="88" s="1"/>
  <c r="F80" i="88"/>
  <c r="G80" i="88" s="1"/>
  <c r="F76" i="88"/>
  <c r="G76" i="88" s="1"/>
  <c r="F72" i="88"/>
  <c r="G72" i="88" s="1"/>
  <c r="F68" i="88"/>
  <c r="G68" i="88" s="1"/>
  <c r="F67" i="88"/>
  <c r="G67" i="88" s="1"/>
  <c r="F63" i="88"/>
  <c r="G63" i="88" s="1"/>
  <c r="F112" i="88"/>
  <c r="G112" i="88" s="1"/>
  <c r="F110" i="88"/>
  <c r="G110" i="88" s="1"/>
  <c r="F108" i="88"/>
  <c r="G108" i="88" s="1"/>
  <c r="F106" i="88"/>
  <c r="G106" i="88" s="1"/>
  <c r="F104" i="88"/>
  <c r="G104" i="88" s="1"/>
  <c r="F102" i="88"/>
  <c r="G102" i="88" s="1"/>
  <c r="F100" i="88"/>
  <c r="G100" i="88" s="1"/>
  <c r="F98" i="88"/>
  <c r="G98" i="88" s="1"/>
  <c r="F97" i="88"/>
  <c r="G97" i="88" s="1"/>
  <c r="F94" i="88"/>
  <c r="G94" i="88" s="1"/>
  <c r="F93" i="88"/>
  <c r="G93" i="88" s="1"/>
  <c r="F90" i="88"/>
  <c r="G90" i="88" s="1"/>
  <c r="F89" i="88"/>
  <c r="G89" i="88" s="1"/>
  <c r="F86" i="88"/>
  <c r="G86" i="88" s="1"/>
  <c r="F85" i="88"/>
  <c r="G85" i="88" s="1"/>
  <c r="F82" i="88"/>
  <c r="G82" i="88" s="1"/>
  <c r="F81" i="88"/>
  <c r="G81" i="88" s="1"/>
  <c r="F78" i="88"/>
  <c r="G78" i="88" s="1"/>
  <c r="F77" i="88"/>
  <c r="G77" i="88" s="1"/>
  <c r="F74" i="88"/>
  <c r="G74" i="88" s="1"/>
  <c r="F73" i="88"/>
  <c r="G73" i="88" s="1"/>
  <c r="F70" i="88"/>
  <c r="G70" i="88" s="1"/>
  <c r="F69" i="88"/>
  <c r="G69" i="88" s="1"/>
  <c r="F65" i="88"/>
  <c r="G65" i="88" s="1"/>
  <c r="B18" i="88"/>
  <c r="C21" i="88"/>
  <c r="F28" i="88"/>
  <c r="F64" i="88"/>
  <c r="G64" i="88" s="1"/>
  <c r="F27" i="88"/>
  <c r="E30" i="88"/>
  <c r="C22" i="88"/>
  <c r="F66" i="88"/>
  <c r="G66" i="88" s="1"/>
  <c r="B19" i="87"/>
  <c r="B22" i="87"/>
  <c r="R27" i="87"/>
  <c r="B30" i="87" s="1"/>
  <c r="B38" i="87"/>
  <c r="X14" i="87" s="1"/>
  <c r="U3" i="87"/>
  <c r="V3" i="87" s="1"/>
  <c r="F57" i="87"/>
  <c r="F58" i="87"/>
  <c r="U35" i="87"/>
  <c r="U16" i="87"/>
  <c r="U17" i="87"/>
  <c r="U14" i="87"/>
  <c r="U36" i="87"/>
  <c r="U26" i="87"/>
  <c r="U20" i="87"/>
  <c r="I120" i="87"/>
  <c r="J120" i="87"/>
  <c r="B13" i="87" s="1"/>
  <c r="F113" i="87"/>
  <c r="G113" i="87" s="1"/>
  <c r="F109" i="87"/>
  <c r="G109" i="87" s="1"/>
  <c r="F105" i="87"/>
  <c r="G105" i="87" s="1"/>
  <c r="F101" i="87"/>
  <c r="G101" i="87" s="1"/>
  <c r="F95" i="87"/>
  <c r="G95" i="87" s="1"/>
  <c r="F91" i="87"/>
  <c r="G91" i="87" s="1"/>
  <c r="F87" i="87"/>
  <c r="G87" i="87" s="1"/>
  <c r="F83" i="87"/>
  <c r="G83" i="87" s="1"/>
  <c r="F79" i="87"/>
  <c r="G79" i="87" s="1"/>
  <c r="F75" i="87"/>
  <c r="G75" i="87" s="1"/>
  <c r="F71" i="87"/>
  <c r="G71" i="87" s="1"/>
  <c r="F111" i="87"/>
  <c r="G111" i="87" s="1"/>
  <c r="F107" i="87"/>
  <c r="G107" i="87" s="1"/>
  <c r="F103" i="87"/>
  <c r="G103" i="87" s="1"/>
  <c r="F112" i="87"/>
  <c r="G112" i="87" s="1"/>
  <c r="F108" i="87"/>
  <c r="G108" i="87" s="1"/>
  <c r="F104" i="87"/>
  <c r="G104" i="87" s="1"/>
  <c r="F100" i="87"/>
  <c r="G100" i="87" s="1"/>
  <c r="F96" i="87"/>
  <c r="G96" i="87" s="1"/>
  <c r="F92" i="87"/>
  <c r="G92" i="87" s="1"/>
  <c r="F88" i="87"/>
  <c r="G88" i="87" s="1"/>
  <c r="F84" i="87"/>
  <c r="G84" i="87" s="1"/>
  <c r="F80" i="87"/>
  <c r="G80" i="87" s="1"/>
  <c r="F76" i="87"/>
  <c r="G76" i="87" s="1"/>
  <c r="F72" i="87"/>
  <c r="G72" i="87" s="1"/>
  <c r="F68" i="87"/>
  <c r="G68" i="87" s="1"/>
  <c r="F67" i="87"/>
  <c r="G67" i="87" s="1"/>
  <c r="F63" i="87"/>
  <c r="G63" i="87" s="1"/>
  <c r="F110" i="87"/>
  <c r="G110" i="87" s="1"/>
  <c r="F102" i="87"/>
  <c r="G102" i="87" s="1"/>
  <c r="F99" i="87"/>
  <c r="G99" i="87" s="1"/>
  <c r="F98" i="87"/>
  <c r="G98" i="87" s="1"/>
  <c r="F106" i="87"/>
  <c r="G106" i="87" s="1"/>
  <c r="F97" i="87"/>
  <c r="G97" i="87" s="1"/>
  <c r="F64" i="87"/>
  <c r="G64" i="87" s="1"/>
  <c r="B18" i="87"/>
  <c r="C21" i="87"/>
  <c r="F28" i="87"/>
  <c r="E30" i="87"/>
  <c r="H57" i="87"/>
  <c r="F70" i="87"/>
  <c r="G70" i="87" s="1"/>
  <c r="F74" i="87"/>
  <c r="G74" i="87" s="1"/>
  <c r="F78" i="87"/>
  <c r="G78" i="87" s="1"/>
  <c r="F82" i="87"/>
  <c r="G82" i="87" s="1"/>
  <c r="F86" i="87"/>
  <c r="G86" i="87" s="1"/>
  <c r="F93" i="87"/>
  <c r="G93" i="87" s="1"/>
  <c r="R25" i="87"/>
  <c r="F27" i="87"/>
  <c r="F66" i="87"/>
  <c r="G66" i="87" s="1"/>
  <c r="F90" i="87"/>
  <c r="G90" i="87" s="1"/>
  <c r="B20" i="87"/>
  <c r="C22" i="87"/>
  <c r="F89" i="87"/>
  <c r="G89" i="87" s="1"/>
  <c r="R26" i="87"/>
  <c r="F65" i="87"/>
  <c r="G65" i="87" s="1"/>
  <c r="F69" i="87"/>
  <c r="G69" i="87" s="1"/>
  <c r="F73" i="87"/>
  <c r="G73" i="87" s="1"/>
  <c r="F77" i="87"/>
  <c r="G77" i="87" s="1"/>
  <c r="F81" i="87"/>
  <c r="G81" i="87" s="1"/>
  <c r="F85" i="87"/>
  <c r="G85" i="87" s="1"/>
  <c r="F94" i="87"/>
  <c r="G94" i="87" s="1"/>
  <c r="F110" i="45"/>
  <c r="G110" i="45" s="1"/>
  <c r="F67" i="45"/>
  <c r="G67" i="45" s="1"/>
  <c r="F78" i="45"/>
  <c r="G78" i="45" s="1"/>
  <c r="F88" i="45"/>
  <c r="G88" i="45" s="1"/>
  <c r="F99" i="45"/>
  <c r="G99" i="45" s="1"/>
  <c r="F70" i="45"/>
  <c r="G70" i="45" s="1"/>
  <c r="F80" i="45"/>
  <c r="G80" i="45" s="1"/>
  <c r="F91" i="45"/>
  <c r="G91" i="45" s="1"/>
  <c r="F102" i="45"/>
  <c r="G102" i="45" s="1"/>
  <c r="F112" i="45"/>
  <c r="G112" i="45" s="1"/>
  <c r="F72" i="45"/>
  <c r="G72" i="45" s="1"/>
  <c r="F83" i="45"/>
  <c r="G83" i="45" s="1"/>
  <c r="F94" i="45"/>
  <c r="G94" i="45" s="1"/>
  <c r="F113" i="45"/>
  <c r="G113" i="45" s="1"/>
  <c r="F64" i="45"/>
  <c r="G64" i="45" s="1"/>
  <c r="F75" i="45"/>
  <c r="G75" i="45" s="1"/>
  <c r="F86" i="45"/>
  <c r="G86" i="45" s="1"/>
  <c r="F96" i="45"/>
  <c r="G96" i="45" s="1"/>
  <c r="F107" i="45"/>
  <c r="G107" i="45" s="1"/>
  <c r="F67" i="86"/>
  <c r="G67" i="86" s="1"/>
  <c r="B19" i="86"/>
  <c r="B22" i="86"/>
  <c r="H58" i="86" s="1"/>
  <c r="R27" i="86"/>
  <c r="B30" i="86" s="1"/>
  <c r="B38" i="86"/>
  <c r="X14" i="86" s="1"/>
  <c r="U37" i="86"/>
  <c r="U14" i="86"/>
  <c r="I120" i="86"/>
  <c r="J120" i="86"/>
  <c r="B13" i="86" s="1"/>
  <c r="F113" i="86"/>
  <c r="G113" i="86" s="1"/>
  <c r="F109" i="86"/>
  <c r="G109" i="86" s="1"/>
  <c r="F105" i="86"/>
  <c r="G105" i="86" s="1"/>
  <c r="F101" i="86"/>
  <c r="G101" i="86" s="1"/>
  <c r="F95" i="86"/>
  <c r="G95" i="86" s="1"/>
  <c r="F91" i="86"/>
  <c r="G91" i="86" s="1"/>
  <c r="F87" i="86"/>
  <c r="G87" i="86" s="1"/>
  <c r="F83" i="86"/>
  <c r="G83" i="86" s="1"/>
  <c r="F79" i="86"/>
  <c r="G79" i="86" s="1"/>
  <c r="F111" i="86"/>
  <c r="G111" i="86" s="1"/>
  <c r="F107" i="86"/>
  <c r="G107" i="86" s="1"/>
  <c r="F103" i="86"/>
  <c r="G103" i="86" s="1"/>
  <c r="F99" i="86"/>
  <c r="G99" i="86" s="1"/>
  <c r="F97" i="86"/>
  <c r="G97" i="86" s="1"/>
  <c r="F93" i="86"/>
  <c r="G93" i="86" s="1"/>
  <c r="F89" i="86"/>
  <c r="G89" i="86" s="1"/>
  <c r="F85" i="86"/>
  <c r="G85" i="86" s="1"/>
  <c r="F81" i="86"/>
  <c r="G81" i="86" s="1"/>
  <c r="F77" i="86"/>
  <c r="G77" i="86" s="1"/>
  <c r="F73" i="86"/>
  <c r="G73" i="86" s="1"/>
  <c r="F69" i="86"/>
  <c r="G69" i="86" s="1"/>
  <c r="F75" i="86"/>
  <c r="G75" i="86" s="1"/>
  <c r="F72" i="86"/>
  <c r="G72" i="86" s="1"/>
  <c r="F71" i="86"/>
  <c r="G71" i="86" s="1"/>
  <c r="F66" i="86"/>
  <c r="G66" i="86" s="1"/>
  <c r="F96" i="86"/>
  <c r="G96" i="86" s="1"/>
  <c r="F92" i="86"/>
  <c r="G92" i="86" s="1"/>
  <c r="F88" i="86"/>
  <c r="G88" i="86" s="1"/>
  <c r="F84" i="86"/>
  <c r="G84" i="86" s="1"/>
  <c r="F80" i="86"/>
  <c r="G80" i="86" s="1"/>
  <c r="F76" i="86"/>
  <c r="G76" i="86" s="1"/>
  <c r="F65" i="86"/>
  <c r="G65" i="86" s="1"/>
  <c r="F112" i="86"/>
  <c r="G112" i="86" s="1"/>
  <c r="F110" i="86"/>
  <c r="G110" i="86" s="1"/>
  <c r="B18" i="86"/>
  <c r="C21" i="86"/>
  <c r="F28" i="86"/>
  <c r="F86" i="86"/>
  <c r="G86" i="86" s="1"/>
  <c r="F90" i="86"/>
  <c r="G90" i="86" s="1"/>
  <c r="F94" i="86"/>
  <c r="G94" i="86" s="1"/>
  <c r="F98" i="86"/>
  <c r="G98" i="86" s="1"/>
  <c r="F100" i="86"/>
  <c r="G100" i="86" s="1"/>
  <c r="F102" i="86"/>
  <c r="G102" i="86" s="1"/>
  <c r="F104" i="86"/>
  <c r="G104" i="86" s="1"/>
  <c r="F106" i="86"/>
  <c r="G106" i="86" s="1"/>
  <c r="F108" i="86"/>
  <c r="G108" i="86" s="1"/>
  <c r="R25" i="86"/>
  <c r="F27" i="86"/>
  <c r="E31" i="86"/>
  <c r="F64" i="86"/>
  <c r="G64" i="86" s="1"/>
  <c r="F68" i="86"/>
  <c r="G68" i="86" s="1"/>
  <c r="B20" i="86"/>
  <c r="C22" i="86"/>
  <c r="F70" i="86"/>
  <c r="G70" i="86" s="1"/>
  <c r="F74" i="86"/>
  <c r="G74" i="86" s="1"/>
  <c r="B21" i="86"/>
  <c r="R26" i="86"/>
  <c r="F63" i="86"/>
  <c r="G63" i="86" s="1"/>
  <c r="F78" i="86"/>
  <c r="G78" i="86" s="1"/>
  <c r="F82" i="86"/>
  <c r="G82" i="86" s="1"/>
  <c r="J122" i="86"/>
  <c r="R27" i="45"/>
  <c r="B30" i="45" s="1"/>
  <c r="F69" i="45"/>
  <c r="G69" i="45" s="1"/>
  <c r="F77" i="45"/>
  <c r="G77" i="45" s="1"/>
  <c r="F85" i="45"/>
  <c r="G85" i="45" s="1"/>
  <c r="F93" i="45"/>
  <c r="G93" i="45" s="1"/>
  <c r="F101" i="45"/>
  <c r="G101" i="45" s="1"/>
  <c r="F109" i="45"/>
  <c r="G109" i="45" s="1"/>
  <c r="R25" i="45"/>
  <c r="F65" i="45"/>
  <c r="G65" i="45" s="1"/>
  <c r="F73" i="45"/>
  <c r="G73" i="45" s="1"/>
  <c r="F81" i="45"/>
  <c r="G81" i="45" s="1"/>
  <c r="F89" i="45"/>
  <c r="G89" i="45" s="1"/>
  <c r="F97" i="45"/>
  <c r="G97" i="45" s="1"/>
  <c r="F105" i="45"/>
  <c r="G105" i="45" s="1"/>
  <c r="I120" i="45"/>
  <c r="I123" i="45" s="1"/>
  <c r="R26" i="45"/>
  <c r="C22" i="45"/>
  <c r="F63" i="45"/>
  <c r="G63" i="45" s="1"/>
  <c r="F66" i="45"/>
  <c r="G66" i="45" s="1"/>
  <c r="F68" i="45"/>
  <c r="G68" i="45" s="1"/>
  <c r="F71" i="45"/>
  <c r="G71" i="45" s="1"/>
  <c r="F74" i="45"/>
  <c r="G74" i="45" s="1"/>
  <c r="F76" i="45"/>
  <c r="G76" i="45" s="1"/>
  <c r="F79" i="45"/>
  <c r="G79" i="45" s="1"/>
  <c r="F82" i="45"/>
  <c r="G82" i="45" s="1"/>
  <c r="F84" i="45"/>
  <c r="G84" i="45" s="1"/>
  <c r="F87" i="45"/>
  <c r="G87" i="45" s="1"/>
  <c r="F90" i="45"/>
  <c r="G90" i="45" s="1"/>
  <c r="F92" i="45"/>
  <c r="G92" i="45" s="1"/>
  <c r="F95" i="45"/>
  <c r="G95" i="45" s="1"/>
  <c r="F98" i="45"/>
  <c r="G98" i="45" s="1"/>
  <c r="F100" i="45"/>
  <c r="G100" i="45" s="1"/>
  <c r="F103" i="45"/>
  <c r="G103" i="45" s="1"/>
  <c r="F106" i="45"/>
  <c r="G106" i="45" s="1"/>
  <c r="F108" i="45"/>
  <c r="G108" i="45" s="1"/>
  <c r="F111" i="45"/>
  <c r="G111" i="45" s="1"/>
  <c r="J123" i="45"/>
  <c r="J122" i="45"/>
  <c r="B22" i="45"/>
  <c r="B19" i="45"/>
  <c r="B21" i="45"/>
  <c r="B18" i="45"/>
  <c r="C21" i="45"/>
  <c r="B36" i="45"/>
  <c r="B20" i="45"/>
  <c r="B17" i="44"/>
  <c r="B16" i="44"/>
  <c r="B12" i="44"/>
  <c r="U11" i="44" s="1"/>
  <c r="V11" i="44" s="1"/>
  <c r="B11" i="44"/>
  <c r="B10" i="44"/>
  <c r="O252" i="44"/>
  <c r="O251" i="44"/>
  <c r="O250" i="44"/>
  <c r="O249" i="44"/>
  <c r="O248" i="44"/>
  <c r="O247" i="44"/>
  <c r="O246" i="44"/>
  <c r="O245" i="44"/>
  <c r="O244" i="44"/>
  <c r="O243" i="44"/>
  <c r="O242" i="44"/>
  <c r="O241" i="44"/>
  <c r="O240" i="44"/>
  <c r="O239" i="44"/>
  <c r="O238" i="44"/>
  <c r="O237" i="44"/>
  <c r="O236" i="44"/>
  <c r="O235" i="44"/>
  <c r="O234" i="44"/>
  <c r="O233" i="44"/>
  <c r="O232" i="44"/>
  <c r="O231" i="44"/>
  <c r="O230" i="44"/>
  <c r="O229" i="44"/>
  <c r="O228" i="44"/>
  <c r="O227" i="44"/>
  <c r="O226" i="44"/>
  <c r="O225" i="44"/>
  <c r="O224" i="44"/>
  <c r="O223" i="44"/>
  <c r="O222" i="44"/>
  <c r="O221" i="44"/>
  <c r="O220" i="44"/>
  <c r="O219" i="44"/>
  <c r="O218" i="44"/>
  <c r="O217" i="44"/>
  <c r="O216" i="44"/>
  <c r="O215" i="44"/>
  <c r="O214" i="44"/>
  <c r="O213" i="44"/>
  <c r="O212" i="44"/>
  <c r="O211" i="44"/>
  <c r="O210" i="44"/>
  <c r="O209" i="44"/>
  <c r="O208" i="44"/>
  <c r="O207" i="44"/>
  <c r="O206" i="44"/>
  <c r="O205" i="44"/>
  <c r="O204" i="44"/>
  <c r="O203" i="44"/>
  <c r="O202" i="44"/>
  <c r="O201" i="44"/>
  <c r="O200" i="44"/>
  <c r="O199" i="44"/>
  <c r="O198" i="44"/>
  <c r="O197" i="44"/>
  <c r="O196" i="44"/>
  <c r="O195" i="44"/>
  <c r="O194" i="44"/>
  <c r="O193" i="44"/>
  <c r="O192" i="44"/>
  <c r="O191" i="44"/>
  <c r="O190" i="44"/>
  <c r="O189" i="44"/>
  <c r="O188" i="44"/>
  <c r="O187" i="44"/>
  <c r="O186" i="44"/>
  <c r="O185" i="44"/>
  <c r="O184" i="44"/>
  <c r="O183" i="44"/>
  <c r="O182" i="44"/>
  <c r="O181" i="44"/>
  <c r="O180" i="44"/>
  <c r="O179" i="44"/>
  <c r="O178" i="44"/>
  <c r="O177" i="44"/>
  <c r="O176" i="44"/>
  <c r="O175" i="44"/>
  <c r="O174" i="44"/>
  <c r="O173" i="44"/>
  <c r="O172" i="44"/>
  <c r="O171" i="44"/>
  <c r="O170" i="44"/>
  <c r="O169" i="44"/>
  <c r="O168" i="44"/>
  <c r="O167" i="44"/>
  <c r="O166" i="44"/>
  <c r="O165" i="44"/>
  <c r="O164" i="44"/>
  <c r="O163" i="44"/>
  <c r="O162" i="44"/>
  <c r="O161" i="44"/>
  <c r="O160" i="44"/>
  <c r="O159" i="44"/>
  <c r="O158" i="44"/>
  <c r="O157" i="44"/>
  <c r="O156" i="44"/>
  <c r="O155" i="44"/>
  <c r="O154" i="44"/>
  <c r="O153" i="44"/>
  <c r="O152" i="44"/>
  <c r="O151" i="44"/>
  <c r="O150" i="44"/>
  <c r="O149" i="44"/>
  <c r="O148" i="44"/>
  <c r="O147" i="44"/>
  <c r="O146" i="44"/>
  <c r="O145" i="44"/>
  <c r="O144" i="44"/>
  <c r="O143" i="44"/>
  <c r="O142" i="44"/>
  <c r="O141" i="44"/>
  <c r="O140" i="44"/>
  <c r="O139" i="44"/>
  <c r="O138" i="44"/>
  <c r="O137" i="44"/>
  <c r="O136" i="44"/>
  <c r="O135" i="44"/>
  <c r="O134" i="44"/>
  <c r="O133" i="44"/>
  <c r="O132" i="44"/>
  <c r="O131" i="44"/>
  <c r="O130" i="44"/>
  <c r="O129" i="44"/>
  <c r="O128" i="44"/>
  <c r="O127" i="44"/>
  <c r="O126" i="44"/>
  <c r="O125" i="44"/>
  <c r="O124" i="44"/>
  <c r="O123" i="44"/>
  <c r="O122" i="44"/>
  <c r="O121" i="44"/>
  <c r="O120" i="44"/>
  <c r="O119" i="44"/>
  <c r="O118" i="44"/>
  <c r="O117" i="44"/>
  <c r="O116" i="44"/>
  <c r="O115" i="44"/>
  <c r="O114" i="44"/>
  <c r="O113" i="44"/>
  <c r="O112" i="44"/>
  <c r="O111" i="44"/>
  <c r="O110" i="44"/>
  <c r="O109" i="44"/>
  <c r="O108" i="44"/>
  <c r="O107" i="44"/>
  <c r="O106" i="44"/>
  <c r="O105" i="44"/>
  <c r="O104" i="44"/>
  <c r="O103" i="44"/>
  <c r="O102" i="44"/>
  <c r="O101" i="44"/>
  <c r="O100" i="44"/>
  <c r="O99" i="44"/>
  <c r="O98" i="44"/>
  <c r="O97" i="44"/>
  <c r="O96" i="44"/>
  <c r="O95" i="44"/>
  <c r="O94" i="44"/>
  <c r="O93" i="44"/>
  <c r="O92" i="44"/>
  <c r="O91" i="44"/>
  <c r="O90" i="44"/>
  <c r="O89" i="44"/>
  <c r="O88" i="44"/>
  <c r="O87" i="44"/>
  <c r="O86" i="44"/>
  <c r="O85" i="44"/>
  <c r="O84" i="44"/>
  <c r="O83" i="44"/>
  <c r="O82" i="44"/>
  <c r="O81" i="44"/>
  <c r="O80" i="44"/>
  <c r="O79" i="44"/>
  <c r="O78" i="44"/>
  <c r="O77" i="44"/>
  <c r="O76" i="44"/>
  <c r="O75" i="44"/>
  <c r="O74" i="44"/>
  <c r="O73" i="44"/>
  <c r="O72" i="44"/>
  <c r="O71" i="44"/>
  <c r="O70" i="44"/>
  <c r="O69" i="44"/>
  <c r="O68" i="44"/>
  <c r="O67" i="44"/>
  <c r="O66" i="44"/>
  <c r="O65" i="44"/>
  <c r="O64" i="44"/>
  <c r="O63" i="44"/>
  <c r="O62" i="44"/>
  <c r="O61" i="44"/>
  <c r="O60" i="44"/>
  <c r="O59" i="44"/>
  <c r="O58" i="44"/>
  <c r="O57" i="44"/>
  <c r="O56" i="44"/>
  <c r="O55" i="44"/>
  <c r="O54" i="44"/>
  <c r="O53" i="44"/>
  <c r="O52" i="44"/>
  <c r="O51" i="44"/>
  <c r="O50" i="44"/>
  <c r="O49" i="44"/>
  <c r="O48" i="44"/>
  <c r="O47" i="44"/>
  <c r="O46" i="44"/>
  <c r="O45" i="44"/>
  <c r="O44" i="44"/>
  <c r="O43" i="44"/>
  <c r="O42" i="44"/>
  <c r="O41" i="44"/>
  <c r="O40" i="44"/>
  <c r="O39" i="44"/>
  <c r="O38" i="44"/>
  <c r="O37" i="44"/>
  <c r="O36" i="44"/>
  <c r="O35" i="44"/>
  <c r="O34" i="44"/>
  <c r="O33" i="44"/>
  <c r="O32" i="44"/>
  <c r="O31" i="44"/>
  <c r="O30" i="44"/>
  <c r="O29" i="44"/>
  <c r="O28" i="44"/>
  <c r="O27" i="44"/>
  <c r="O26" i="44"/>
  <c r="O25" i="44"/>
  <c r="O24" i="44"/>
  <c r="O23" i="44"/>
  <c r="O22" i="44"/>
  <c r="O21" i="44"/>
  <c r="O20" i="44"/>
  <c r="O19" i="44"/>
  <c r="O18" i="44"/>
  <c r="O17" i="44"/>
  <c r="O16" i="44"/>
  <c r="O15" i="44"/>
  <c r="O14" i="44"/>
  <c r="O13" i="44"/>
  <c r="O12" i="44"/>
  <c r="O11" i="44"/>
  <c r="O10" i="44"/>
  <c r="O9" i="44"/>
  <c r="O8" i="44"/>
  <c r="O7" i="44"/>
  <c r="O6" i="44"/>
  <c r="O5" i="44"/>
  <c r="O4" i="44"/>
  <c r="O3" i="44"/>
  <c r="B9" i="44"/>
  <c r="B114" i="43"/>
  <c r="B104" i="43"/>
  <c r="F103" i="43"/>
  <c r="B106" i="43"/>
  <c r="A106" i="43"/>
  <c r="B105" i="43"/>
  <c r="A105" i="43"/>
  <c r="C103" i="43"/>
  <c r="F102" i="43"/>
  <c r="B102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94" i="43"/>
  <c r="S93" i="43"/>
  <c r="S92" i="43"/>
  <c r="S91" i="43"/>
  <c r="S90" i="43"/>
  <c r="S89" i="43"/>
  <c r="S88" i="43"/>
  <c r="S87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B18" i="43"/>
  <c r="B17" i="43"/>
  <c r="R43" i="43" s="1"/>
  <c r="S43" i="43" s="1"/>
  <c r="B16" i="43"/>
  <c r="B12" i="43"/>
  <c r="B11" i="43"/>
  <c r="B10" i="43"/>
  <c r="B9" i="43"/>
  <c r="D111" i="43" s="1"/>
  <c r="R252" i="43"/>
  <c r="R251" i="43"/>
  <c r="R250" i="43"/>
  <c r="R249" i="43"/>
  <c r="R248" i="43"/>
  <c r="R247" i="43"/>
  <c r="R246" i="43"/>
  <c r="R245" i="43"/>
  <c r="R244" i="43"/>
  <c r="R243" i="43"/>
  <c r="R242" i="43"/>
  <c r="R241" i="43"/>
  <c r="R240" i="43"/>
  <c r="R239" i="43"/>
  <c r="R238" i="43"/>
  <c r="R237" i="43"/>
  <c r="R236" i="43"/>
  <c r="R235" i="43"/>
  <c r="R234" i="43"/>
  <c r="R233" i="43"/>
  <c r="R232" i="43"/>
  <c r="R231" i="43"/>
  <c r="R230" i="43"/>
  <c r="R229" i="43"/>
  <c r="R228" i="43"/>
  <c r="R227" i="43"/>
  <c r="R226" i="43"/>
  <c r="R225" i="43"/>
  <c r="R224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6" i="43"/>
  <c r="R205" i="43"/>
  <c r="R204" i="43"/>
  <c r="R203" i="43"/>
  <c r="R202" i="43"/>
  <c r="R201" i="43"/>
  <c r="R200" i="43"/>
  <c r="R199" i="43"/>
  <c r="R198" i="43"/>
  <c r="R197" i="43"/>
  <c r="R196" i="43"/>
  <c r="R195" i="43"/>
  <c r="R194" i="43"/>
  <c r="R193" i="43"/>
  <c r="R192" i="43"/>
  <c r="R191" i="43"/>
  <c r="R190" i="43"/>
  <c r="R189" i="43"/>
  <c r="R188" i="43"/>
  <c r="R187" i="43"/>
  <c r="R186" i="43"/>
  <c r="R185" i="43"/>
  <c r="R184" i="43"/>
  <c r="R183" i="43"/>
  <c r="R182" i="43"/>
  <c r="R181" i="43"/>
  <c r="R180" i="43"/>
  <c r="R179" i="43"/>
  <c r="R178" i="43"/>
  <c r="R177" i="43"/>
  <c r="R176" i="43"/>
  <c r="R175" i="43"/>
  <c r="R174" i="43"/>
  <c r="R173" i="43"/>
  <c r="R172" i="43"/>
  <c r="R171" i="43"/>
  <c r="R170" i="43"/>
  <c r="R169" i="43"/>
  <c r="R168" i="43"/>
  <c r="R167" i="43"/>
  <c r="R166" i="43"/>
  <c r="R165" i="43"/>
  <c r="R164" i="43"/>
  <c r="R163" i="43"/>
  <c r="R162" i="43"/>
  <c r="R161" i="43"/>
  <c r="R160" i="43"/>
  <c r="R159" i="43"/>
  <c r="R158" i="43"/>
  <c r="R157" i="43"/>
  <c r="R156" i="43"/>
  <c r="R155" i="43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R141" i="43"/>
  <c r="R140" i="43"/>
  <c r="R139" i="43"/>
  <c r="R138" i="43"/>
  <c r="R137" i="43"/>
  <c r="R136" i="43"/>
  <c r="R135" i="43"/>
  <c r="R134" i="43"/>
  <c r="R133" i="43"/>
  <c r="R132" i="43"/>
  <c r="R131" i="43"/>
  <c r="R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R110" i="43"/>
  <c r="R109" i="43"/>
  <c r="R108" i="43"/>
  <c r="R107" i="43"/>
  <c r="R106" i="43"/>
  <c r="R105" i="43"/>
  <c r="R104" i="43"/>
  <c r="R103" i="43"/>
  <c r="R102" i="43"/>
  <c r="R101" i="43"/>
  <c r="R100" i="43"/>
  <c r="R99" i="43"/>
  <c r="R98" i="43"/>
  <c r="R97" i="43"/>
  <c r="R96" i="43"/>
  <c r="R95" i="43"/>
  <c r="R94" i="43"/>
  <c r="R93" i="43"/>
  <c r="R92" i="43"/>
  <c r="R91" i="43"/>
  <c r="R90" i="43"/>
  <c r="R89" i="43"/>
  <c r="R88" i="43"/>
  <c r="R87" i="43"/>
  <c r="R86" i="43"/>
  <c r="R85" i="43"/>
  <c r="R84" i="43"/>
  <c r="R83" i="43"/>
  <c r="R82" i="43"/>
  <c r="R81" i="43"/>
  <c r="R80" i="43"/>
  <c r="R79" i="43"/>
  <c r="R78" i="43"/>
  <c r="R77" i="43"/>
  <c r="R76" i="43"/>
  <c r="R75" i="43"/>
  <c r="R74" i="43"/>
  <c r="R73" i="43"/>
  <c r="R72" i="43"/>
  <c r="R71" i="43"/>
  <c r="R70" i="43"/>
  <c r="R69" i="43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3" i="43"/>
  <c r="R52" i="43"/>
  <c r="R51" i="43"/>
  <c r="R50" i="43"/>
  <c r="R47" i="43"/>
  <c r="S47" i="43" s="1"/>
  <c r="B4" i="43"/>
  <c r="B3" i="43"/>
  <c r="B37" i="44"/>
  <c r="B36" i="43"/>
  <c r="C36" i="43"/>
  <c r="X14" i="108" l="1"/>
  <c r="U19" i="108"/>
  <c r="U39" i="108"/>
  <c r="U22" i="108"/>
  <c r="U33" i="108"/>
  <c r="U37" i="108"/>
  <c r="U26" i="108"/>
  <c r="U21" i="108"/>
  <c r="U25" i="108"/>
  <c r="U38" i="108"/>
  <c r="U34" i="108"/>
  <c r="U27" i="108"/>
  <c r="U16" i="108"/>
  <c r="U32" i="108"/>
  <c r="U20" i="108"/>
  <c r="U28" i="108"/>
  <c r="U35" i="108"/>
  <c r="U23" i="108"/>
  <c r="U18" i="108"/>
  <c r="U29" i="108"/>
  <c r="U31" i="108"/>
  <c r="U15" i="108"/>
  <c r="U30" i="108"/>
  <c r="U36" i="108"/>
  <c r="U17" i="108"/>
  <c r="U24" i="108"/>
  <c r="R49" i="43"/>
  <c r="S49" i="43" s="1"/>
  <c r="J122" i="87"/>
  <c r="U38" i="87"/>
  <c r="U21" i="87"/>
  <c r="B13" i="89"/>
  <c r="J122" i="93"/>
  <c r="B13" i="108"/>
  <c r="I122" i="87"/>
  <c r="U30" i="119"/>
  <c r="I122" i="91"/>
  <c r="U18" i="93"/>
  <c r="B13" i="95"/>
  <c r="B13" i="101"/>
  <c r="U16" i="117"/>
  <c r="J123" i="119"/>
  <c r="U25" i="119"/>
  <c r="U39" i="117"/>
  <c r="U35" i="117"/>
  <c r="U16" i="119"/>
  <c r="U15" i="86"/>
  <c r="U27" i="86"/>
  <c r="U32" i="86"/>
  <c r="T83" i="86" s="1"/>
  <c r="B40" i="122"/>
  <c r="A103" i="122"/>
  <c r="E103" i="122"/>
  <c r="B39" i="122"/>
  <c r="B41" i="122" s="1"/>
  <c r="C104" i="122"/>
  <c r="C102" i="122"/>
  <c r="G102" i="122"/>
  <c r="G103" i="122" s="1"/>
  <c r="E102" i="122"/>
  <c r="D104" i="122"/>
  <c r="D102" i="122"/>
  <c r="A103" i="121"/>
  <c r="G102" i="121"/>
  <c r="G103" i="121" s="1"/>
  <c r="B40" i="121"/>
  <c r="E103" i="121"/>
  <c r="C102" i="121"/>
  <c r="C104" i="121"/>
  <c r="E102" i="121"/>
  <c r="B39" i="121"/>
  <c r="B41" i="121" s="1"/>
  <c r="D104" i="121"/>
  <c r="D102" i="121"/>
  <c r="A103" i="120"/>
  <c r="B40" i="120"/>
  <c r="C102" i="120"/>
  <c r="E102" i="120"/>
  <c r="E103" i="120"/>
  <c r="G102" i="120"/>
  <c r="G103" i="120" s="1"/>
  <c r="C104" i="120"/>
  <c r="B39" i="120"/>
  <c r="D102" i="120"/>
  <c r="D104" i="120"/>
  <c r="B13" i="96"/>
  <c r="U38" i="96"/>
  <c r="U39" i="96"/>
  <c r="U17" i="96"/>
  <c r="U25" i="96"/>
  <c r="U29" i="96"/>
  <c r="U23" i="96"/>
  <c r="U30" i="96"/>
  <c r="U21" i="96"/>
  <c r="U28" i="96"/>
  <c r="U22" i="96"/>
  <c r="U27" i="96"/>
  <c r="U35" i="96"/>
  <c r="U15" i="96"/>
  <c r="U18" i="96"/>
  <c r="U33" i="96"/>
  <c r="U32" i="96"/>
  <c r="U24" i="96"/>
  <c r="U31" i="96"/>
  <c r="U33" i="119"/>
  <c r="U21" i="119"/>
  <c r="T47" i="119"/>
  <c r="U24" i="119"/>
  <c r="I123" i="119"/>
  <c r="U3" i="118"/>
  <c r="V3" i="118" s="1"/>
  <c r="U30" i="118"/>
  <c r="U19" i="118"/>
  <c r="T56" i="118" s="1"/>
  <c r="U34" i="118"/>
  <c r="U31" i="118"/>
  <c r="U25" i="118"/>
  <c r="T69" i="118" s="1"/>
  <c r="U35" i="118"/>
  <c r="B13" i="118"/>
  <c r="U23" i="118"/>
  <c r="U18" i="118"/>
  <c r="T54" i="118" s="1"/>
  <c r="U20" i="118"/>
  <c r="U24" i="118"/>
  <c r="U21" i="118"/>
  <c r="U22" i="118"/>
  <c r="W22" i="118" s="1"/>
  <c r="U25" i="117"/>
  <c r="U31" i="117"/>
  <c r="I123" i="117"/>
  <c r="U28" i="117"/>
  <c r="U26" i="117"/>
  <c r="U32" i="117"/>
  <c r="U22" i="117"/>
  <c r="U24" i="117"/>
  <c r="U29" i="117"/>
  <c r="U33" i="115"/>
  <c r="U37" i="115"/>
  <c r="U17" i="115"/>
  <c r="B38" i="115"/>
  <c r="X14" i="113"/>
  <c r="U19" i="113"/>
  <c r="U39" i="113"/>
  <c r="T97" i="113" s="1"/>
  <c r="U27" i="113"/>
  <c r="U22" i="113"/>
  <c r="U29" i="113"/>
  <c r="U38" i="113"/>
  <c r="U24" i="113"/>
  <c r="U35" i="113"/>
  <c r="U20" i="113"/>
  <c r="U37" i="113"/>
  <c r="T92" i="113" s="1"/>
  <c r="U21" i="113"/>
  <c r="U31" i="113"/>
  <c r="U23" i="113"/>
  <c r="U34" i="113"/>
  <c r="W34" i="113" s="1"/>
  <c r="U15" i="113"/>
  <c r="U33" i="113"/>
  <c r="U17" i="113"/>
  <c r="U30" i="113"/>
  <c r="T78" i="113" s="1"/>
  <c r="U16" i="113"/>
  <c r="U32" i="113"/>
  <c r="U28" i="113"/>
  <c r="U26" i="113"/>
  <c r="T70" i="113" s="1"/>
  <c r="U36" i="113"/>
  <c r="U18" i="113"/>
  <c r="U25" i="113"/>
  <c r="I123" i="112"/>
  <c r="T87" i="112"/>
  <c r="T86" i="112"/>
  <c r="I122" i="112"/>
  <c r="J122" i="112"/>
  <c r="X14" i="111"/>
  <c r="U27" i="111"/>
  <c r="U25" i="111"/>
  <c r="U15" i="111"/>
  <c r="U33" i="111"/>
  <c r="U18" i="111"/>
  <c r="U16" i="111"/>
  <c r="U35" i="111"/>
  <c r="U22" i="111"/>
  <c r="U30" i="111"/>
  <c r="U39" i="111"/>
  <c r="U19" i="111"/>
  <c r="U37" i="111"/>
  <c r="U20" i="111"/>
  <c r="U21" i="111"/>
  <c r="U23" i="111"/>
  <c r="U38" i="111"/>
  <c r="U36" i="111"/>
  <c r="U26" i="111"/>
  <c r="U24" i="111"/>
  <c r="U32" i="111"/>
  <c r="U31" i="111"/>
  <c r="U28" i="111"/>
  <c r="U17" i="111"/>
  <c r="U29" i="111"/>
  <c r="B13" i="111"/>
  <c r="U34" i="111"/>
  <c r="B38" i="110"/>
  <c r="I123" i="110"/>
  <c r="U3" i="110"/>
  <c r="V3" i="110" s="1"/>
  <c r="F57" i="110"/>
  <c r="B13" i="110"/>
  <c r="U30" i="109"/>
  <c r="U16" i="109"/>
  <c r="U27" i="109"/>
  <c r="T73" i="109" s="1"/>
  <c r="U17" i="109"/>
  <c r="U35" i="109"/>
  <c r="U18" i="109"/>
  <c r="U31" i="109"/>
  <c r="T80" i="109" s="1"/>
  <c r="J123" i="109"/>
  <c r="I122" i="109"/>
  <c r="U20" i="109"/>
  <c r="U15" i="109"/>
  <c r="T48" i="109" s="1"/>
  <c r="I123" i="109"/>
  <c r="U33" i="109"/>
  <c r="U21" i="109"/>
  <c r="U23" i="109"/>
  <c r="T65" i="109" s="1"/>
  <c r="B28" i="107"/>
  <c r="H70" i="107"/>
  <c r="H85" i="107"/>
  <c r="H100" i="107"/>
  <c r="C31" i="107"/>
  <c r="U8" i="107" s="1"/>
  <c r="V8" i="107" s="1"/>
  <c r="H65" i="107"/>
  <c r="H66" i="107"/>
  <c r="H90" i="107"/>
  <c r="H110" i="107"/>
  <c r="H96" i="107"/>
  <c r="H69" i="107"/>
  <c r="H64" i="107"/>
  <c r="H74" i="107"/>
  <c r="H102" i="107"/>
  <c r="H80" i="107"/>
  <c r="H83" i="107"/>
  <c r="I57" i="107"/>
  <c r="U9" i="107"/>
  <c r="V9" i="107" s="1"/>
  <c r="I123" i="107"/>
  <c r="C32" i="107"/>
  <c r="U10" i="107" s="1"/>
  <c r="V10" i="107" s="1"/>
  <c r="H86" i="107"/>
  <c r="H108" i="107"/>
  <c r="H84" i="107"/>
  <c r="H101" i="107"/>
  <c r="B38" i="107"/>
  <c r="B13" i="106"/>
  <c r="I123" i="106"/>
  <c r="B13" i="105"/>
  <c r="I123" i="105"/>
  <c r="H57" i="104"/>
  <c r="B38" i="104"/>
  <c r="I122" i="102"/>
  <c r="I123" i="102"/>
  <c r="X14" i="102"/>
  <c r="U34" i="102"/>
  <c r="U27" i="102"/>
  <c r="U26" i="102"/>
  <c r="U39" i="102"/>
  <c r="U19" i="102"/>
  <c r="U16" i="102"/>
  <c r="U22" i="102"/>
  <c r="U30" i="102"/>
  <c r="U28" i="102"/>
  <c r="U38" i="102"/>
  <c r="U37" i="102"/>
  <c r="U17" i="102"/>
  <c r="U29" i="102"/>
  <c r="U31" i="102"/>
  <c r="U23" i="102"/>
  <c r="U32" i="102"/>
  <c r="U15" i="102"/>
  <c r="U18" i="102"/>
  <c r="U33" i="102"/>
  <c r="U21" i="102"/>
  <c r="U36" i="102"/>
  <c r="U35" i="102"/>
  <c r="U25" i="102"/>
  <c r="U20" i="102"/>
  <c r="U24" i="102"/>
  <c r="B13" i="102"/>
  <c r="U34" i="101"/>
  <c r="U35" i="101"/>
  <c r="U16" i="101"/>
  <c r="I123" i="101"/>
  <c r="U39" i="101"/>
  <c r="U28" i="101"/>
  <c r="U24" i="101"/>
  <c r="U21" i="101"/>
  <c r="U31" i="101"/>
  <c r="U19" i="101"/>
  <c r="U25" i="101"/>
  <c r="U22" i="101"/>
  <c r="T91" i="100"/>
  <c r="W36" i="100"/>
  <c r="T90" i="100"/>
  <c r="I57" i="100"/>
  <c r="U9" i="100"/>
  <c r="V9" i="100" s="1"/>
  <c r="I123" i="100"/>
  <c r="I122" i="99"/>
  <c r="J122" i="99"/>
  <c r="I123" i="99"/>
  <c r="J123" i="99"/>
  <c r="B38" i="99"/>
  <c r="I122" i="98"/>
  <c r="U9" i="98"/>
  <c r="V9" i="98" s="1"/>
  <c r="I57" i="98"/>
  <c r="J122" i="97"/>
  <c r="I122" i="97"/>
  <c r="I123" i="97"/>
  <c r="H65" i="96"/>
  <c r="R30" i="96"/>
  <c r="B31" i="96" s="1"/>
  <c r="J123" i="96"/>
  <c r="H76" i="96"/>
  <c r="J122" i="96"/>
  <c r="I122" i="96"/>
  <c r="H90" i="96"/>
  <c r="U22" i="93"/>
  <c r="I122" i="93"/>
  <c r="U27" i="93"/>
  <c r="U38" i="93"/>
  <c r="J123" i="93"/>
  <c r="I123" i="93"/>
  <c r="U25" i="93"/>
  <c r="X14" i="92"/>
  <c r="U25" i="92"/>
  <c r="U21" i="92"/>
  <c r="U31" i="92"/>
  <c r="U23" i="92"/>
  <c r="U38" i="92"/>
  <c r="U22" i="92"/>
  <c r="U37" i="92"/>
  <c r="U19" i="92"/>
  <c r="U18" i="92"/>
  <c r="U27" i="92"/>
  <c r="U17" i="92"/>
  <c r="U36" i="92"/>
  <c r="U20" i="92"/>
  <c r="U29" i="92"/>
  <c r="U33" i="92"/>
  <c r="U16" i="92"/>
  <c r="U26" i="92"/>
  <c r="U35" i="92"/>
  <c r="U15" i="92"/>
  <c r="U30" i="92"/>
  <c r="U32" i="92"/>
  <c r="U34" i="92"/>
  <c r="U24" i="92"/>
  <c r="U39" i="92"/>
  <c r="U28" i="92"/>
  <c r="U5" i="92"/>
  <c r="V5" i="92" s="1"/>
  <c r="I122" i="92"/>
  <c r="J122" i="92"/>
  <c r="I123" i="92"/>
  <c r="I122" i="95"/>
  <c r="J122" i="89"/>
  <c r="U16" i="89"/>
  <c r="U24" i="89"/>
  <c r="U32" i="89"/>
  <c r="U31" i="89"/>
  <c r="I122" i="89"/>
  <c r="U19" i="89"/>
  <c r="U15" i="89"/>
  <c r="U29" i="89"/>
  <c r="U31" i="88"/>
  <c r="U22" i="88"/>
  <c r="U27" i="88"/>
  <c r="U28" i="87"/>
  <c r="U23" i="87"/>
  <c r="U31" i="87"/>
  <c r="U16" i="86"/>
  <c r="T51" i="86" s="1"/>
  <c r="U22" i="86"/>
  <c r="U21" i="86"/>
  <c r="U24" i="86"/>
  <c r="T67" i="86" s="1"/>
  <c r="U30" i="86"/>
  <c r="T78" i="86" s="1"/>
  <c r="U34" i="86"/>
  <c r="T86" i="86" s="1"/>
  <c r="U31" i="86"/>
  <c r="H72" i="45"/>
  <c r="J120" i="44"/>
  <c r="I120" i="44"/>
  <c r="F113" i="44"/>
  <c r="G113" i="44" s="1"/>
  <c r="F109" i="44"/>
  <c r="G109" i="44" s="1"/>
  <c r="F105" i="44"/>
  <c r="G105" i="44" s="1"/>
  <c r="F101" i="44"/>
  <c r="G101" i="44" s="1"/>
  <c r="F97" i="44"/>
  <c r="G97" i="44" s="1"/>
  <c r="F93" i="44"/>
  <c r="G93" i="44" s="1"/>
  <c r="F89" i="44"/>
  <c r="G89" i="44" s="1"/>
  <c r="F85" i="44"/>
  <c r="G85" i="44" s="1"/>
  <c r="F81" i="44"/>
  <c r="G81" i="44" s="1"/>
  <c r="F77" i="44"/>
  <c r="G77" i="44" s="1"/>
  <c r="F69" i="44"/>
  <c r="G69" i="44" s="1"/>
  <c r="F111" i="44"/>
  <c r="G111" i="44" s="1"/>
  <c r="F103" i="44"/>
  <c r="G103" i="44" s="1"/>
  <c r="F95" i="44"/>
  <c r="G95" i="44" s="1"/>
  <c r="F83" i="44"/>
  <c r="G83" i="44" s="1"/>
  <c r="F75" i="44"/>
  <c r="G75" i="44" s="1"/>
  <c r="F67" i="44"/>
  <c r="G67" i="44" s="1"/>
  <c r="F112" i="44"/>
  <c r="G112" i="44" s="1"/>
  <c r="F108" i="44"/>
  <c r="G108" i="44" s="1"/>
  <c r="F104" i="44"/>
  <c r="G104" i="44" s="1"/>
  <c r="F100" i="44"/>
  <c r="G100" i="44" s="1"/>
  <c r="F96" i="44"/>
  <c r="G96" i="44" s="1"/>
  <c r="F92" i="44"/>
  <c r="G92" i="44" s="1"/>
  <c r="F88" i="44"/>
  <c r="G88" i="44" s="1"/>
  <c r="F84" i="44"/>
  <c r="G84" i="44" s="1"/>
  <c r="F80" i="44"/>
  <c r="G80" i="44" s="1"/>
  <c r="F76" i="44"/>
  <c r="G76" i="44" s="1"/>
  <c r="F72" i="44"/>
  <c r="G72" i="44" s="1"/>
  <c r="F68" i="44"/>
  <c r="G68" i="44" s="1"/>
  <c r="F64" i="44"/>
  <c r="G64" i="44" s="1"/>
  <c r="F91" i="44"/>
  <c r="G91" i="44" s="1"/>
  <c r="F63" i="44"/>
  <c r="G63" i="44" s="1"/>
  <c r="C22" i="44"/>
  <c r="U9" i="44" s="1"/>
  <c r="V9" i="44" s="1"/>
  <c r="F110" i="44"/>
  <c r="G110" i="44" s="1"/>
  <c r="F106" i="44"/>
  <c r="G106" i="44" s="1"/>
  <c r="F102" i="44"/>
  <c r="G102" i="44" s="1"/>
  <c r="F98" i="44"/>
  <c r="G98" i="44" s="1"/>
  <c r="F94" i="44"/>
  <c r="G94" i="44" s="1"/>
  <c r="F90" i="44"/>
  <c r="G90" i="44" s="1"/>
  <c r="F86" i="44"/>
  <c r="G86" i="44" s="1"/>
  <c r="F82" i="44"/>
  <c r="G82" i="44" s="1"/>
  <c r="F78" i="44"/>
  <c r="G78" i="44" s="1"/>
  <c r="F74" i="44"/>
  <c r="G74" i="44" s="1"/>
  <c r="F70" i="44"/>
  <c r="G70" i="44" s="1"/>
  <c r="F66" i="44"/>
  <c r="G66" i="44" s="1"/>
  <c r="F73" i="44"/>
  <c r="G73" i="44" s="1"/>
  <c r="F65" i="44"/>
  <c r="G65" i="44" s="1"/>
  <c r="F107" i="44"/>
  <c r="G107" i="44" s="1"/>
  <c r="F99" i="44"/>
  <c r="G99" i="44" s="1"/>
  <c r="F87" i="44"/>
  <c r="G87" i="44" s="1"/>
  <c r="F79" i="44"/>
  <c r="G79" i="44" s="1"/>
  <c r="F71" i="44"/>
  <c r="G71" i="44" s="1"/>
  <c r="R25" i="44"/>
  <c r="R27" i="44"/>
  <c r="R26" i="44"/>
  <c r="B18" i="44"/>
  <c r="H111" i="119"/>
  <c r="H107" i="119"/>
  <c r="H103" i="119"/>
  <c r="H99" i="119"/>
  <c r="H97" i="119"/>
  <c r="H93" i="119"/>
  <c r="H89" i="119"/>
  <c r="H85" i="119"/>
  <c r="H81" i="119"/>
  <c r="H77" i="119"/>
  <c r="H73" i="119"/>
  <c r="H69" i="119"/>
  <c r="H113" i="119"/>
  <c r="H109" i="119"/>
  <c r="H105" i="119"/>
  <c r="H101" i="119"/>
  <c r="H95" i="119"/>
  <c r="H91" i="119"/>
  <c r="H110" i="119"/>
  <c r="H106" i="119"/>
  <c r="H102" i="119"/>
  <c r="H98" i="119"/>
  <c r="H94" i="119"/>
  <c r="H90" i="119"/>
  <c r="H86" i="119"/>
  <c r="H96" i="119"/>
  <c r="H92" i="119"/>
  <c r="H82" i="119"/>
  <c r="H78" i="119"/>
  <c r="H74" i="119"/>
  <c r="H70" i="119"/>
  <c r="H65" i="119"/>
  <c r="H108" i="119"/>
  <c r="H100" i="119"/>
  <c r="H88" i="119"/>
  <c r="H83" i="119"/>
  <c r="H79" i="119"/>
  <c r="H75" i="119"/>
  <c r="H71" i="119"/>
  <c r="H64" i="119"/>
  <c r="H87" i="119"/>
  <c r="H84" i="119"/>
  <c r="H80" i="119"/>
  <c r="H112" i="119"/>
  <c r="H104" i="119"/>
  <c r="H66" i="119"/>
  <c r="R28" i="119"/>
  <c r="H72" i="119"/>
  <c r="H67" i="119"/>
  <c r="R31" i="119"/>
  <c r="B32" i="119" s="1"/>
  <c r="B29" i="119"/>
  <c r="B27" i="119"/>
  <c r="H63" i="119"/>
  <c r="C32" i="119"/>
  <c r="U10" i="119" s="1"/>
  <c r="V10" i="119" s="1"/>
  <c r="R30" i="119"/>
  <c r="B31" i="119" s="1"/>
  <c r="H76" i="119"/>
  <c r="H68" i="119"/>
  <c r="C31" i="119"/>
  <c r="U8" i="119" s="1"/>
  <c r="V8" i="119" s="1"/>
  <c r="R29" i="119"/>
  <c r="B28" i="119"/>
  <c r="T78" i="119"/>
  <c r="T79" i="119"/>
  <c r="T60" i="119"/>
  <c r="T61" i="119"/>
  <c r="U36" i="119"/>
  <c r="U31" i="119"/>
  <c r="U23" i="119"/>
  <c r="W24" i="119" s="1"/>
  <c r="U22" i="119"/>
  <c r="U19" i="119"/>
  <c r="X14" i="119"/>
  <c r="U34" i="119"/>
  <c r="U17" i="119"/>
  <c r="G58" i="119"/>
  <c r="G57" i="119"/>
  <c r="U7" i="119"/>
  <c r="V7" i="119" s="1"/>
  <c r="I57" i="119"/>
  <c r="U9" i="119"/>
  <c r="V9" i="119" s="1"/>
  <c r="I58" i="119"/>
  <c r="U32" i="119"/>
  <c r="U27" i="119"/>
  <c r="U18" i="119"/>
  <c r="T46" i="119"/>
  <c r="U35" i="119"/>
  <c r="U20" i="119"/>
  <c r="U15" i="119"/>
  <c r="W16" i="119" s="1"/>
  <c r="U38" i="119"/>
  <c r="T68" i="119"/>
  <c r="T69" i="119"/>
  <c r="W25" i="119"/>
  <c r="T51" i="119"/>
  <c r="T50" i="119"/>
  <c r="T74" i="119"/>
  <c r="T75" i="119"/>
  <c r="U29" i="119"/>
  <c r="W30" i="119" s="1"/>
  <c r="U39" i="119"/>
  <c r="T84" i="119"/>
  <c r="T85" i="119"/>
  <c r="W33" i="119"/>
  <c r="T67" i="119"/>
  <c r="T66" i="119"/>
  <c r="U26" i="119"/>
  <c r="U37" i="119"/>
  <c r="I122" i="118"/>
  <c r="G57" i="118"/>
  <c r="G58" i="118"/>
  <c r="U7" i="118"/>
  <c r="V7" i="118" s="1"/>
  <c r="U17" i="118"/>
  <c r="U27" i="118"/>
  <c r="U16" i="118"/>
  <c r="U38" i="118"/>
  <c r="U15" i="118"/>
  <c r="U33" i="118"/>
  <c r="U37" i="118"/>
  <c r="T64" i="118"/>
  <c r="T65" i="118"/>
  <c r="W23" i="118"/>
  <c r="T79" i="118"/>
  <c r="T78" i="118"/>
  <c r="T55" i="118"/>
  <c r="W19" i="118"/>
  <c r="T57" i="118"/>
  <c r="T58" i="118"/>
  <c r="T59" i="118"/>
  <c r="W20" i="118"/>
  <c r="T87" i="118"/>
  <c r="T86" i="118"/>
  <c r="W34" i="118"/>
  <c r="T67" i="118"/>
  <c r="T66" i="118"/>
  <c r="W24" i="118"/>
  <c r="T80" i="118"/>
  <c r="T81" i="118"/>
  <c r="W31" i="118"/>
  <c r="T61" i="118"/>
  <c r="T60" i="118"/>
  <c r="W21" i="118"/>
  <c r="T68" i="118"/>
  <c r="W25" i="118"/>
  <c r="T63" i="118"/>
  <c r="T62" i="118"/>
  <c r="T88" i="118"/>
  <c r="T89" i="118"/>
  <c r="H111" i="118"/>
  <c r="H107" i="118"/>
  <c r="H103" i="118"/>
  <c r="H99" i="118"/>
  <c r="H97" i="118"/>
  <c r="H93" i="118"/>
  <c r="H89" i="118"/>
  <c r="H85" i="118"/>
  <c r="H81" i="118"/>
  <c r="H77" i="118"/>
  <c r="H73" i="118"/>
  <c r="H69" i="118"/>
  <c r="H113" i="118"/>
  <c r="H109" i="118"/>
  <c r="H105" i="118"/>
  <c r="H101" i="118"/>
  <c r="H95" i="118"/>
  <c r="H96" i="118"/>
  <c r="H91" i="118"/>
  <c r="H87" i="118"/>
  <c r="H83" i="118"/>
  <c r="H79" i="118"/>
  <c r="H75" i="118"/>
  <c r="H71" i="118"/>
  <c r="H64" i="118"/>
  <c r="H92" i="118"/>
  <c r="H88" i="118"/>
  <c r="H84" i="118"/>
  <c r="H80" i="118"/>
  <c r="H76" i="118"/>
  <c r="H72" i="118"/>
  <c r="H68" i="118"/>
  <c r="H67" i="118"/>
  <c r="H63" i="118"/>
  <c r="H112" i="118"/>
  <c r="H110" i="118"/>
  <c r="H108" i="118"/>
  <c r="H106" i="118"/>
  <c r="H104" i="118"/>
  <c r="H102" i="118"/>
  <c r="H100" i="118"/>
  <c r="H98" i="118"/>
  <c r="H94" i="118"/>
  <c r="H90" i="118"/>
  <c r="H86" i="118"/>
  <c r="H82" i="118"/>
  <c r="H78" i="118"/>
  <c r="H74" i="118"/>
  <c r="H70" i="118"/>
  <c r="H65" i="118"/>
  <c r="R31" i="118"/>
  <c r="B32" i="118" s="1"/>
  <c r="R30" i="118"/>
  <c r="B31" i="118" s="1"/>
  <c r="B28" i="118"/>
  <c r="B27" i="118"/>
  <c r="H66" i="118"/>
  <c r="B29" i="118"/>
  <c r="R28" i="118"/>
  <c r="C32" i="118"/>
  <c r="U10" i="118" s="1"/>
  <c r="V10" i="118" s="1"/>
  <c r="C31" i="118"/>
  <c r="U8" i="118" s="1"/>
  <c r="V8" i="118" s="1"/>
  <c r="R29" i="118"/>
  <c r="T46" i="118"/>
  <c r="T47" i="118"/>
  <c r="U26" i="118"/>
  <c r="U39" i="118"/>
  <c r="U29" i="118"/>
  <c r="U32" i="118"/>
  <c r="U28" i="118"/>
  <c r="U36" i="118"/>
  <c r="G58" i="117"/>
  <c r="G57" i="117"/>
  <c r="U7" i="117"/>
  <c r="V7" i="117" s="1"/>
  <c r="J123" i="117"/>
  <c r="F57" i="117"/>
  <c r="U3" i="117"/>
  <c r="V3" i="117" s="1"/>
  <c r="F58" i="117"/>
  <c r="U15" i="117"/>
  <c r="W16" i="117" s="1"/>
  <c r="U36" i="117"/>
  <c r="U17" i="117"/>
  <c r="U27" i="117"/>
  <c r="U18" i="117"/>
  <c r="U33" i="117"/>
  <c r="I122" i="117"/>
  <c r="I57" i="117"/>
  <c r="U9" i="117"/>
  <c r="V9" i="117" s="1"/>
  <c r="I58" i="117"/>
  <c r="U19" i="117"/>
  <c r="U20" i="117"/>
  <c r="U37" i="117"/>
  <c r="W38" i="117" s="1"/>
  <c r="U23" i="117"/>
  <c r="W24" i="117" s="1"/>
  <c r="U30" i="117"/>
  <c r="W31" i="117" s="1"/>
  <c r="U21" i="117"/>
  <c r="U34" i="117"/>
  <c r="W35" i="117" s="1"/>
  <c r="T68" i="117"/>
  <c r="T69" i="117"/>
  <c r="T62" i="117"/>
  <c r="W22" i="117"/>
  <c r="T63" i="117"/>
  <c r="T95" i="117"/>
  <c r="T94" i="117"/>
  <c r="T67" i="117"/>
  <c r="T80" i="117"/>
  <c r="T81" i="117"/>
  <c r="T76" i="117"/>
  <c r="T77" i="117"/>
  <c r="W29" i="117"/>
  <c r="T88" i="117"/>
  <c r="T89" i="117"/>
  <c r="H111" i="117"/>
  <c r="H107" i="117"/>
  <c r="H103" i="117"/>
  <c r="H99" i="117"/>
  <c r="H97" i="117"/>
  <c r="H93" i="117"/>
  <c r="H89" i="117"/>
  <c r="H85" i="117"/>
  <c r="H81" i="117"/>
  <c r="H77" i="117"/>
  <c r="H73" i="117"/>
  <c r="H69" i="117"/>
  <c r="H113" i="117"/>
  <c r="H109" i="117"/>
  <c r="H110" i="117"/>
  <c r="H106" i="117"/>
  <c r="H102" i="117"/>
  <c r="H95" i="117"/>
  <c r="H91" i="117"/>
  <c r="H87" i="117"/>
  <c r="H83" i="117"/>
  <c r="H79" i="117"/>
  <c r="H75" i="117"/>
  <c r="H71" i="117"/>
  <c r="H108" i="117"/>
  <c r="H104" i="117"/>
  <c r="H100" i="117"/>
  <c r="H96" i="117"/>
  <c r="H105" i="117"/>
  <c r="H101" i="117"/>
  <c r="H66" i="117"/>
  <c r="H65" i="117"/>
  <c r="H94" i="117"/>
  <c r="H92" i="117"/>
  <c r="H90" i="117"/>
  <c r="H88" i="117"/>
  <c r="H86" i="117"/>
  <c r="H84" i="117"/>
  <c r="H82" i="117"/>
  <c r="H80" i="117"/>
  <c r="H78" i="117"/>
  <c r="H76" i="117"/>
  <c r="H74" i="117"/>
  <c r="H72" i="117"/>
  <c r="H70" i="117"/>
  <c r="H68" i="117"/>
  <c r="H67" i="117"/>
  <c r="C31" i="117"/>
  <c r="U8" i="117" s="1"/>
  <c r="V8" i="117" s="1"/>
  <c r="R29" i="117"/>
  <c r="H112" i="117"/>
  <c r="H63" i="117"/>
  <c r="C32" i="117"/>
  <c r="U10" i="117" s="1"/>
  <c r="V10" i="117" s="1"/>
  <c r="R31" i="117"/>
  <c r="B32" i="117" s="1"/>
  <c r="R30" i="117"/>
  <c r="B31" i="117" s="1"/>
  <c r="B28" i="117"/>
  <c r="B27" i="117"/>
  <c r="H98" i="117"/>
  <c r="H64" i="117"/>
  <c r="B29" i="117"/>
  <c r="R28" i="117"/>
  <c r="T96" i="117"/>
  <c r="T97" i="117"/>
  <c r="W39" i="117"/>
  <c r="T75" i="117"/>
  <c r="W28" i="117"/>
  <c r="T74" i="117"/>
  <c r="T47" i="117"/>
  <c r="T46" i="117"/>
  <c r="T71" i="117"/>
  <c r="W26" i="117"/>
  <c r="T70" i="117"/>
  <c r="T51" i="117"/>
  <c r="T50" i="117"/>
  <c r="T83" i="117"/>
  <c r="W32" i="117"/>
  <c r="T82" i="117"/>
  <c r="T96" i="116"/>
  <c r="T97" i="116"/>
  <c r="W39" i="116"/>
  <c r="T72" i="116"/>
  <c r="T73" i="116"/>
  <c r="W27" i="116"/>
  <c r="T62" i="116"/>
  <c r="T63" i="116"/>
  <c r="W22" i="116"/>
  <c r="I57" i="116"/>
  <c r="I58" i="116"/>
  <c r="U9" i="116"/>
  <c r="V9" i="116" s="1"/>
  <c r="T84" i="116"/>
  <c r="W33" i="116"/>
  <c r="T85" i="116"/>
  <c r="T94" i="116"/>
  <c r="T95" i="116"/>
  <c r="W38" i="116"/>
  <c r="T70" i="116"/>
  <c r="T71" i="116"/>
  <c r="W26" i="116"/>
  <c r="T78" i="116"/>
  <c r="T79" i="116"/>
  <c r="W30" i="116"/>
  <c r="G57" i="116"/>
  <c r="G58" i="116"/>
  <c r="U7" i="116"/>
  <c r="V7" i="116" s="1"/>
  <c r="T61" i="116"/>
  <c r="T60" i="116"/>
  <c r="W21" i="116"/>
  <c r="T56" i="116"/>
  <c r="W19" i="116"/>
  <c r="T57" i="116"/>
  <c r="T53" i="116"/>
  <c r="T52" i="116"/>
  <c r="W17" i="116"/>
  <c r="T90" i="116"/>
  <c r="T91" i="116"/>
  <c r="W36" i="116"/>
  <c r="T66" i="116"/>
  <c r="T67" i="116"/>
  <c r="W24" i="116"/>
  <c r="T74" i="116"/>
  <c r="T75" i="116"/>
  <c r="W28" i="116"/>
  <c r="T58" i="116"/>
  <c r="W20" i="116"/>
  <c r="T59" i="116"/>
  <c r="T92" i="116"/>
  <c r="T93" i="116"/>
  <c r="W37" i="116"/>
  <c r="T80" i="116"/>
  <c r="W31" i="116"/>
  <c r="T81" i="116"/>
  <c r="T55" i="116"/>
  <c r="T54" i="116"/>
  <c r="W18" i="116"/>
  <c r="T68" i="116"/>
  <c r="W25" i="116"/>
  <c r="T69" i="116"/>
  <c r="T65" i="116"/>
  <c r="T64" i="116"/>
  <c r="W23" i="116"/>
  <c r="T88" i="116"/>
  <c r="T89" i="116"/>
  <c r="W35" i="116"/>
  <c r="H111" i="116"/>
  <c r="H107" i="116"/>
  <c r="H103" i="116"/>
  <c r="H99" i="116"/>
  <c r="H97" i="116"/>
  <c r="H93" i="116"/>
  <c r="H89" i="116"/>
  <c r="H85" i="116"/>
  <c r="H81" i="116"/>
  <c r="H77" i="116"/>
  <c r="H73" i="116"/>
  <c r="H69" i="116"/>
  <c r="H113" i="116"/>
  <c r="H109" i="116"/>
  <c r="H105" i="116"/>
  <c r="H101" i="116"/>
  <c r="H95" i="116"/>
  <c r="H91" i="116"/>
  <c r="H110" i="116"/>
  <c r="H106" i="116"/>
  <c r="H88" i="116"/>
  <c r="H84" i="116"/>
  <c r="H80" i="116"/>
  <c r="H76" i="116"/>
  <c r="H72" i="116"/>
  <c r="H68" i="116"/>
  <c r="H67" i="116"/>
  <c r="H63" i="116"/>
  <c r="H108" i="116"/>
  <c r="H86" i="116"/>
  <c r="H82" i="116"/>
  <c r="H78" i="116"/>
  <c r="H74" i="116"/>
  <c r="H112" i="116"/>
  <c r="H104" i="116"/>
  <c r="H102" i="116"/>
  <c r="H100" i="116"/>
  <c r="H98" i="116"/>
  <c r="H94" i="116"/>
  <c r="H90" i="116"/>
  <c r="H87" i="116"/>
  <c r="H83" i="116"/>
  <c r="H79" i="116"/>
  <c r="H75" i="116"/>
  <c r="H71" i="116"/>
  <c r="H64" i="116"/>
  <c r="H96" i="116"/>
  <c r="H92" i="116"/>
  <c r="C32" i="116"/>
  <c r="U10" i="116" s="1"/>
  <c r="V10" i="116" s="1"/>
  <c r="R31" i="116"/>
  <c r="B32" i="116" s="1"/>
  <c r="R29" i="116"/>
  <c r="B28" i="116"/>
  <c r="B27" i="116"/>
  <c r="H70" i="116"/>
  <c r="H66" i="116"/>
  <c r="C31" i="116"/>
  <c r="U8" i="116" s="1"/>
  <c r="V8" i="116" s="1"/>
  <c r="R30" i="116"/>
  <c r="B31" i="116" s="1"/>
  <c r="B29" i="116"/>
  <c r="R28" i="116"/>
  <c r="H65" i="116"/>
  <c r="T49" i="116"/>
  <c r="V15" i="116"/>
  <c r="X15" i="116" s="1"/>
  <c r="T48" i="116"/>
  <c r="V16" i="116" a="1"/>
  <c r="W15" i="116"/>
  <c r="F58" i="116"/>
  <c r="F57" i="116"/>
  <c r="U3" i="116"/>
  <c r="V3" i="116" s="1"/>
  <c r="T76" i="116"/>
  <c r="T77" i="116"/>
  <c r="W29" i="116"/>
  <c r="T50" i="116"/>
  <c r="W16" i="116"/>
  <c r="T51" i="116"/>
  <c r="T82" i="116"/>
  <c r="T83" i="116"/>
  <c r="W32" i="116"/>
  <c r="T86" i="116"/>
  <c r="T87" i="116"/>
  <c r="W34" i="116"/>
  <c r="H111" i="115"/>
  <c r="H112" i="115"/>
  <c r="H108" i="115"/>
  <c r="H104" i="115"/>
  <c r="H100" i="115"/>
  <c r="H96" i="115"/>
  <c r="H92" i="115"/>
  <c r="H88" i="115"/>
  <c r="H84" i="115"/>
  <c r="H80" i="115"/>
  <c r="H76" i="115"/>
  <c r="H72" i="115"/>
  <c r="H68" i="115"/>
  <c r="H113" i="115"/>
  <c r="H109" i="115"/>
  <c r="H105" i="115"/>
  <c r="H101" i="115"/>
  <c r="H95" i="115"/>
  <c r="H91" i="115"/>
  <c r="H89" i="115"/>
  <c r="H85" i="115"/>
  <c r="H81" i="115"/>
  <c r="H77" i="115"/>
  <c r="H73" i="115"/>
  <c r="H69" i="115"/>
  <c r="H65" i="115"/>
  <c r="H110" i="115"/>
  <c r="H106" i="115"/>
  <c r="H102" i="115"/>
  <c r="H98" i="115"/>
  <c r="H94" i="115"/>
  <c r="H90" i="115"/>
  <c r="H86" i="115"/>
  <c r="H82" i="115"/>
  <c r="H78" i="115"/>
  <c r="H74" i="115"/>
  <c r="H70" i="115"/>
  <c r="H64" i="115"/>
  <c r="H107" i="115"/>
  <c r="H103" i="115"/>
  <c r="H99" i="115"/>
  <c r="H97" i="115"/>
  <c r="H93" i="115"/>
  <c r="H87" i="115"/>
  <c r="H83" i="115"/>
  <c r="H79" i="115"/>
  <c r="H66" i="115"/>
  <c r="R31" i="115"/>
  <c r="B32" i="115" s="1"/>
  <c r="R30" i="115"/>
  <c r="B31" i="115" s="1"/>
  <c r="B28" i="115"/>
  <c r="H75" i="115"/>
  <c r="H67" i="115"/>
  <c r="H63" i="115"/>
  <c r="C32" i="115"/>
  <c r="U10" i="115" s="1"/>
  <c r="V10" i="115" s="1"/>
  <c r="C31" i="115"/>
  <c r="U8" i="115" s="1"/>
  <c r="V8" i="115" s="1"/>
  <c r="B29" i="115"/>
  <c r="H71" i="115"/>
  <c r="B27" i="115"/>
  <c r="R29" i="115"/>
  <c r="R28" i="115"/>
  <c r="J123" i="115"/>
  <c r="J122" i="115"/>
  <c r="B13" i="115"/>
  <c r="I57" i="115"/>
  <c r="I58" i="115"/>
  <c r="U9" i="115"/>
  <c r="V9" i="115" s="1"/>
  <c r="T85" i="115"/>
  <c r="T84" i="115"/>
  <c r="T92" i="115"/>
  <c r="T93" i="115"/>
  <c r="I123" i="115"/>
  <c r="I122" i="115"/>
  <c r="T52" i="115"/>
  <c r="T53" i="115"/>
  <c r="H57" i="115"/>
  <c r="H58" i="115"/>
  <c r="B23" i="115"/>
  <c r="U5" i="115"/>
  <c r="V5" i="115" s="1"/>
  <c r="G58" i="115"/>
  <c r="G57" i="115"/>
  <c r="U7" i="115"/>
  <c r="V7" i="115" s="1"/>
  <c r="I58" i="113"/>
  <c r="U9" i="113"/>
  <c r="V9" i="113" s="1"/>
  <c r="I57" i="113"/>
  <c r="G57" i="113"/>
  <c r="U7" i="113"/>
  <c r="V7" i="113" s="1"/>
  <c r="G58" i="113"/>
  <c r="T63" i="113"/>
  <c r="W22" i="113"/>
  <c r="T62" i="113"/>
  <c r="T88" i="113"/>
  <c r="T89" i="113"/>
  <c r="T67" i="113"/>
  <c r="T66" i="113"/>
  <c r="W24" i="113"/>
  <c r="T80" i="113"/>
  <c r="T81" i="113"/>
  <c r="T51" i="113"/>
  <c r="T50" i="113"/>
  <c r="W16" i="113"/>
  <c r="T57" i="113"/>
  <c r="T56" i="113"/>
  <c r="W19" i="113"/>
  <c r="F58" i="113"/>
  <c r="F57" i="113"/>
  <c r="U3" i="113"/>
  <c r="V3" i="113" s="1"/>
  <c r="H57" i="113"/>
  <c r="B23" i="113"/>
  <c r="H58" i="113"/>
  <c r="U5" i="113"/>
  <c r="V5" i="113" s="1"/>
  <c r="T74" i="113"/>
  <c r="T75" i="113"/>
  <c r="W28" i="113"/>
  <c r="T46" i="113"/>
  <c r="T47" i="113"/>
  <c r="W26" i="113"/>
  <c r="T90" i="113"/>
  <c r="T91" i="113"/>
  <c r="W36" i="113"/>
  <c r="T54" i="113"/>
  <c r="W18" i="113"/>
  <c r="T55" i="113"/>
  <c r="T68" i="113"/>
  <c r="T69" i="113"/>
  <c r="W25" i="113"/>
  <c r="T49" i="113"/>
  <c r="W15" i="113"/>
  <c r="T48" i="113"/>
  <c r="T84" i="113"/>
  <c r="T85" i="113"/>
  <c r="W33" i="113"/>
  <c r="T53" i="113"/>
  <c r="T52" i="113"/>
  <c r="W17" i="113"/>
  <c r="T72" i="113"/>
  <c r="T73" i="113"/>
  <c r="T94" i="113"/>
  <c r="T61" i="113"/>
  <c r="T60" i="113"/>
  <c r="W21" i="113"/>
  <c r="T82" i="113"/>
  <c r="T83" i="113"/>
  <c r="W32" i="113"/>
  <c r="H111" i="113"/>
  <c r="H107" i="113"/>
  <c r="H103" i="113"/>
  <c r="H99" i="113"/>
  <c r="H97" i="113"/>
  <c r="H93" i="113"/>
  <c r="H89" i="113"/>
  <c r="H85" i="113"/>
  <c r="H81" i="113"/>
  <c r="H77" i="113"/>
  <c r="H73" i="113"/>
  <c r="H69" i="113"/>
  <c r="H113" i="113"/>
  <c r="H109" i="113"/>
  <c r="H105" i="113"/>
  <c r="H100" i="113"/>
  <c r="H98" i="113"/>
  <c r="H94" i="113"/>
  <c r="H90" i="113"/>
  <c r="H86" i="113"/>
  <c r="H82" i="113"/>
  <c r="H78" i="113"/>
  <c r="H74" i="113"/>
  <c r="H70" i="113"/>
  <c r="H65" i="113"/>
  <c r="H95" i="113"/>
  <c r="H91" i="113"/>
  <c r="H87" i="113"/>
  <c r="H83" i="113"/>
  <c r="H79" i="113"/>
  <c r="H75" i="113"/>
  <c r="H71" i="113"/>
  <c r="H64" i="113"/>
  <c r="H112" i="113"/>
  <c r="H110" i="113"/>
  <c r="H108" i="113"/>
  <c r="H106" i="113"/>
  <c r="H104" i="113"/>
  <c r="H102" i="113"/>
  <c r="H96" i="113"/>
  <c r="H92" i="113"/>
  <c r="H66" i="113"/>
  <c r="H63" i="113"/>
  <c r="B29" i="113"/>
  <c r="R28" i="113"/>
  <c r="H101" i="113"/>
  <c r="C32" i="113"/>
  <c r="U10" i="113" s="1"/>
  <c r="V10" i="113" s="1"/>
  <c r="C31" i="113"/>
  <c r="U8" i="113" s="1"/>
  <c r="V8" i="113" s="1"/>
  <c r="R29" i="113"/>
  <c r="H88" i="113"/>
  <c r="H84" i="113"/>
  <c r="H80" i="113"/>
  <c r="H76" i="113"/>
  <c r="H72" i="113"/>
  <c r="H68" i="113"/>
  <c r="H67" i="113"/>
  <c r="R31" i="113"/>
  <c r="B32" i="113" s="1"/>
  <c r="R30" i="113"/>
  <c r="B31" i="113" s="1"/>
  <c r="B28" i="113"/>
  <c r="B27" i="113"/>
  <c r="T58" i="113"/>
  <c r="W20" i="113"/>
  <c r="T59" i="113"/>
  <c r="T86" i="113"/>
  <c r="T64" i="113"/>
  <c r="W23" i="113"/>
  <c r="T65" i="113"/>
  <c r="W30" i="113"/>
  <c r="T76" i="113"/>
  <c r="W29" i="113"/>
  <c r="T77" i="113"/>
  <c r="T93" i="113"/>
  <c r="H111" i="112"/>
  <c r="H107" i="112"/>
  <c r="H103" i="112"/>
  <c r="H99" i="112"/>
  <c r="H97" i="112"/>
  <c r="H93" i="112"/>
  <c r="H89" i="112"/>
  <c r="H85" i="112"/>
  <c r="H81" i="112"/>
  <c r="H77" i="112"/>
  <c r="H73" i="112"/>
  <c r="H69" i="112"/>
  <c r="H113" i="112"/>
  <c r="H109" i="112"/>
  <c r="H105" i="112"/>
  <c r="H101" i="112"/>
  <c r="H95" i="112"/>
  <c r="H110" i="112"/>
  <c r="H106" i="112"/>
  <c r="H96" i="112"/>
  <c r="H91" i="112"/>
  <c r="H87" i="112"/>
  <c r="H83" i="112"/>
  <c r="H79" i="112"/>
  <c r="H75" i="112"/>
  <c r="H71" i="112"/>
  <c r="H64" i="112"/>
  <c r="H108" i="112"/>
  <c r="H92" i="112"/>
  <c r="H88" i="112"/>
  <c r="H84" i="112"/>
  <c r="H80" i="112"/>
  <c r="H76" i="112"/>
  <c r="H72" i="112"/>
  <c r="H68" i="112"/>
  <c r="H67" i="112"/>
  <c r="H63" i="112"/>
  <c r="C32" i="112"/>
  <c r="U10" i="112" s="1"/>
  <c r="V10" i="112" s="1"/>
  <c r="H102" i="112"/>
  <c r="H100" i="112"/>
  <c r="H98" i="112"/>
  <c r="H112" i="112"/>
  <c r="H104" i="112"/>
  <c r="H94" i="112"/>
  <c r="H90" i="112"/>
  <c r="H86" i="112"/>
  <c r="H82" i="112"/>
  <c r="H78" i="112"/>
  <c r="H74" i="112"/>
  <c r="H70" i="112"/>
  <c r="H65" i="112"/>
  <c r="H66" i="112"/>
  <c r="R31" i="112"/>
  <c r="B32" i="112" s="1"/>
  <c r="R30" i="112"/>
  <c r="B31" i="112" s="1"/>
  <c r="B28" i="112"/>
  <c r="B27" i="112"/>
  <c r="B29" i="112"/>
  <c r="R28" i="112"/>
  <c r="C31" i="112"/>
  <c r="U8" i="112" s="1"/>
  <c r="V8" i="112" s="1"/>
  <c r="R29" i="112"/>
  <c r="T83" i="112"/>
  <c r="T82" i="112"/>
  <c r="W32" i="112"/>
  <c r="T56" i="112"/>
  <c r="W19" i="112"/>
  <c r="T57" i="112"/>
  <c r="T79" i="112"/>
  <c r="T78" i="112"/>
  <c r="W30" i="112"/>
  <c r="T67" i="112"/>
  <c r="T66" i="112"/>
  <c r="W24" i="112"/>
  <c r="T52" i="112"/>
  <c r="T53" i="112"/>
  <c r="W17" i="112"/>
  <c r="T60" i="112"/>
  <c r="W21" i="112"/>
  <c r="T61" i="112"/>
  <c r="T92" i="112"/>
  <c r="W37" i="112"/>
  <c r="T93" i="112"/>
  <c r="T62" i="112"/>
  <c r="T63" i="112"/>
  <c r="W22" i="112"/>
  <c r="T94" i="112"/>
  <c r="W38" i="112"/>
  <c r="T95" i="112"/>
  <c r="T88" i="112"/>
  <c r="W35" i="112"/>
  <c r="T89" i="112"/>
  <c r="T64" i="112"/>
  <c r="T65" i="112"/>
  <c r="W23" i="112"/>
  <c r="T47" i="112"/>
  <c r="T46" i="112"/>
  <c r="T84" i="112"/>
  <c r="W33" i="112"/>
  <c r="T85" i="112"/>
  <c r="G58" i="112"/>
  <c r="U7" i="112"/>
  <c r="V7" i="112" s="1"/>
  <c r="G57" i="112"/>
  <c r="T96" i="112"/>
  <c r="T97" i="112"/>
  <c r="W39" i="112"/>
  <c r="T72" i="112"/>
  <c r="T73" i="112"/>
  <c r="W27" i="112"/>
  <c r="H57" i="112"/>
  <c r="H58" i="112"/>
  <c r="B23" i="112"/>
  <c r="U5" i="112"/>
  <c r="V5" i="112" s="1"/>
  <c r="T50" i="112"/>
  <c r="T51" i="112"/>
  <c r="W16" i="112"/>
  <c r="W34" i="112"/>
  <c r="T75" i="112"/>
  <c r="T74" i="112"/>
  <c r="W28" i="112"/>
  <c r="T58" i="112"/>
  <c r="T59" i="112"/>
  <c r="W20" i="112"/>
  <c r="T48" i="112"/>
  <c r="T49" i="112"/>
  <c r="V16" i="112" a="1"/>
  <c r="W15" i="112"/>
  <c r="V15" i="112"/>
  <c r="X15" i="112" s="1"/>
  <c r="T91" i="112"/>
  <c r="T90" i="112"/>
  <c r="W36" i="112"/>
  <c r="T68" i="112"/>
  <c r="W25" i="112"/>
  <c r="T69" i="112"/>
  <c r="T76" i="112"/>
  <c r="W29" i="112"/>
  <c r="T77" i="112"/>
  <c r="T80" i="112"/>
  <c r="T81" i="112"/>
  <c r="W31" i="112"/>
  <c r="T71" i="112"/>
  <c r="T70" i="112"/>
  <c r="W26" i="112"/>
  <c r="T54" i="112"/>
  <c r="T55" i="112"/>
  <c r="W18" i="112"/>
  <c r="T76" i="111"/>
  <c r="W29" i="111"/>
  <c r="T77" i="111"/>
  <c r="T52" i="111"/>
  <c r="T53" i="111"/>
  <c r="W17" i="111"/>
  <c r="T74" i="111"/>
  <c r="T75" i="111"/>
  <c r="W28" i="111"/>
  <c r="T80" i="111"/>
  <c r="T81" i="111"/>
  <c r="W31" i="111"/>
  <c r="T82" i="111"/>
  <c r="T83" i="111"/>
  <c r="W32" i="111"/>
  <c r="H111" i="111"/>
  <c r="H107" i="111"/>
  <c r="H103" i="111"/>
  <c r="H99" i="111"/>
  <c r="H97" i="111"/>
  <c r="H93" i="111"/>
  <c r="H89" i="111"/>
  <c r="H85" i="111"/>
  <c r="H81" i="111"/>
  <c r="H77" i="111"/>
  <c r="H73" i="111"/>
  <c r="H69" i="111"/>
  <c r="H113" i="111"/>
  <c r="H109" i="111"/>
  <c r="H105" i="111"/>
  <c r="H101" i="111"/>
  <c r="H95" i="111"/>
  <c r="H91" i="111"/>
  <c r="H87" i="111"/>
  <c r="H83" i="111"/>
  <c r="H79" i="111"/>
  <c r="H75" i="111"/>
  <c r="H71" i="111"/>
  <c r="H110" i="111"/>
  <c r="H106" i="111"/>
  <c r="H65" i="111"/>
  <c r="B29" i="111"/>
  <c r="R28" i="111"/>
  <c r="H108" i="111"/>
  <c r="H102" i="111"/>
  <c r="H100" i="111"/>
  <c r="H98" i="111"/>
  <c r="H94" i="111"/>
  <c r="H90" i="111"/>
  <c r="H86" i="111"/>
  <c r="H82" i="111"/>
  <c r="H78" i="111"/>
  <c r="H74" i="111"/>
  <c r="H70" i="111"/>
  <c r="H68" i="111"/>
  <c r="H64" i="111"/>
  <c r="H67" i="111"/>
  <c r="H63" i="111"/>
  <c r="C32" i="111"/>
  <c r="U10" i="111" s="1"/>
  <c r="V10" i="111" s="1"/>
  <c r="H112" i="111"/>
  <c r="H104" i="111"/>
  <c r="H96" i="111"/>
  <c r="H92" i="111"/>
  <c r="H88" i="111"/>
  <c r="H84" i="111"/>
  <c r="H80" i="111"/>
  <c r="H76" i="111"/>
  <c r="H72" i="111"/>
  <c r="C31" i="111"/>
  <c r="U8" i="111" s="1"/>
  <c r="V8" i="111" s="1"/>
  <c r="R30" i="111"/>
  <c r="B31" i="111" s="1"/>
  <c r="B27" i="111"/>
  <c r="H66" i="111"/>
  <c r="R31" i="111"/>
  <c r="B32" i="111" s="1"/>
  <c r="B28" i="111"/>
  <c r="R29" i="111"/>
  <c r="T67" i="111"/>
  <c r="T66" i="111"/>
  <c r="W24" i="111"/>
  <c r="I58" i="111"/>
  <c r="U9" i="111"/>
  <c r="V9" i="111" s="1"/>
  <c r="I57" i="111"/>
  <c r="T46" i="111"/>
  <c r="T47" i="111"/>
  <c r="T70" i="111"/>
  <c r="T71" i="111"/>
  <c r="W26" i="111"/>
  <c r="T90" i="111"/>
  <c r="T91" i="111"/>
  <c r="W36" i="111"/>
  <c r="T94" i="111"/>
  <c r="T95" i="111"/>
  <c r="W38" i="111"/>
  <c r="T64" i="111"/>
  <c r="T65" i="111"/>
  <c r="W23" i="111"/>
  <c r="T60" i="111"/>
  <c r="W21" i="111"/>
  <c r="T61" i="111"/>
  <c r="T58" i="111"/>
  <c r="T59" i="111"/>
  <c r="W20" i="111"/>
  <c r="T92" i="111"/>
  <c r="W37" i="111"/>
  <c r="T93" i="111"/>
  <c r="H57" i="111"/>
  <c r="B23" i="111"/>
  <c r="U5" i="111"/>
  <c r="V5" i="111" s="1"/>
  <c r="H58" i="111"/>
  <c r="T56" i="111"/>
  <c r="T57" i="111"/>
  <c r="W19" i="111"/>
  <c r="T96" i="111"/>
  <c r="T97" i="111"/>
  <c r="W39" i="111"/>
  <c r="T78" i="111"/>
  <c r="T79" i="111"/>
  <c r="W30" i="111"/>
  <c r="T63" i="111"/>
  <c r="T62" i="111"/>
  <c r="W22" i="111"/>
  <c r="T88" i="111"/>
  <c r="W35" i="111"/>
  <c r="T89" i="111"/>
  <c r="T50" i="111"/>
  <c r="W16" i="111"/>
  <c r="T51" i="111"/>
  <c r="W18" i="111"/>
  <c r="T54" i="111"/>
  <c r="T55" i="111"/>
  <c r="T84" i="111"/>
  <c r="W33" i="111"/>
  <c r="T85" i="111"/>
  <c r="G58" i="111"/>
  <c r="G57" i="111"/>
  <c r="U7" i="111"/>
  <c r="V7" i="111" s="1"/>
  <c r="F58" i="111"/>
  <c r="F57" i="111"/>
  <c r="U3" i="111"/>
  <c r="V3" i="111" s="1"/>
  <c r="T48" i="111"/>
  <c r="W15" i="111"/>
  <c r="V15" i="111"/>
  <c r="X15" i="111" s="1"/>
  <c r="T49" i="111"/>
  <c r="V16" i="111" a="1"/>
  <c r="T68" i="111"/>
  <c r="T69" i="111"/>
  <c r="W25" i="111"/>
  <c r="T72" i="111"/>
  <c r="T73" i="111"/>
  <c r="W27" i="111"/>
  <c r="I122" i="110"/>
  <c r="H111" i="110"/>
  <c r="H107" i="110"/>
  <c r="H103" i="110"/>
  <c r="H99" i="110"/>
  <c r="H97" i="110"/>
  <c r="H93" i="110"/>
  <c r="H89" i="110"/>
  <c r="H85" i="110"/>
  <c r="H81" i="110"/>
  <c r="H77" i="110"/>
  <c r="H73" i="110"/>
  <c r="H69" i="110"/>
  <c r="H113" i="110"/>
  <c r="H109" i="110"/>
  <c r="H105" i="110"/>
  <c r="H110" i="110"/>
  <c r="H106" i="110"/>
  <c r="H102" i="110"/>
  <c r="H95" i="110"/>
  <c r="H91" i="110"/>
  <c r="H87" i="110"/>
  <c r="H83" i="110"/>
  <c r="H79" i="110"/>
  <c r="H75" i="110"/>
  <c r="H71" i="110"/>
  <c r="H108" i="110"/>
  <c r="H100" i="110"/>
  <c r="H96" i="110"/>
  <c r="H92" i="110"/>
  <c r="H88" i="110"/>
  <c r="H84" i="110"/>
  <c r="H80" i="110"/>
  <c r="H76" i="110"/>
  <c r="H72" i="110"/>
  <c r="H101" i="110"/>
  <c r="H112" i="110"/>
  <c r="H104" i="110"/>
  <c r="H98" i="110"/>
  <c r="H94" i="110"/>
  <c r="H90" i="110"/>
  <c r="H86" i="110"/>
  <c r="H82" i="110"/>
  <c r="H78" i="110"/>
  <c r="H74" i="110"/>
  <c r="H70" i="110"/>
  <c r="H65" i="110"/>
  <c r="H64" i="110"/>
  <c r="C31" i="110"/>
  <c r="U8" i="110" s="1"/>
  <c r="V8" i="110" s="1"/>
  <c r="R30" i="110"/>
  <c r="B31" i="110" s="1"/>
  <c r="B29" i="110"/>
  <c r="R28" i="110"/>
  <c r="H68" i="110"/>
  <c r="C32" i="110"/>
  <c r="U10" i="110" s="1"/>
  <c r="V10" i="110" s="1"/>
  <c r="R31" i="110"/>
  <c r="B32" i="110" s="1"/>
  <c r="H66" i="110"/>
  <c r="R29" i="110"/>
  <c r="H67" i="110"/>
  <c r="H63" i="110"/>
  <c r="B28" i="110"/>
  <c r="B27" i="110"/>
  <c r="U9" i="110"/>
  <c r="V9" i="110" s="1"/>
  <c r="I58" i="110"/>
  <c r="I57" i="110"/>
  <c r="G58" i="110"/>
  <c r="G57" i="110"/>
  <c r="U7" i="110"/>
  <c r="V7" i="110" s="1"/>
  <c r="U34" i="109"/>
  <c r="W35" i="109" s="1"/>
  <c r="I58" i="109"/>
  <c r="I57" i="109"/>
  <c r="U9" i="109"/>
  <c r="V9" i="109" s="1"/>
  <c r="U26" i="109"/>
  <c r="W27" i="109" s="1"/>
  <c r="U29" i="109"/>
  <c r="G58" i="109"/>
  <c r="G57" i="109"/>
  <c r="U7" i="109"/>
  <c r="V7" i="109" s="1"/>
  <c r="U39" i="109"/>
  <c r="U25" i="109"/>
  <c r="T92" i="109"/>
  <c r="W37" i="109"/>
  <c r="T93" i="109"/>
  <c r="T84" i="109"/>
  <c r="T85" i="109"/>
  <c r="T60" i="109"/>
  <c r="T61" i="109"/>
  <c r="W21" i="109"/>
  <c r="T67" i="109"/>
  <c r="W24" i="109"/>
  <c r="T66" i="109"/>
  <c r="T52" i="109"/>
  <c r="W17" i="109"/>
  <c r="T53" i="109"/>
  <c r="T58" i="109"/>
  <c r="T59" i="109"/>
  <c r="W15" i="109"/>
  <c r="U3" i="109"/>
  <c r="V3" i="109" s="1"/>
  <c r="F58" i="109"/>
  <c r="F57" i="109"/>
  <c r="T91" i="109"/>
  <c r="T90" i="109"/>
  <c r="W36" i="109"/>
  <c r="T79" i="109"/>
  <c r="T78" i="109"/>
  <c r="W30" i="109"/>
  <c r="T54" i="109"/>
  <c r="T55" i="109"/>
  <c r="W18" i="109"/>
  <c r="T81" i="109"/>
  <c r="T46" i="109"/>
  <c r="T47" i="109"/>
  <c r="H111" i="109"/>
  <c r="H107" i="109"/>
  <c r="H103" i="109"/>
  <c r="H99" i="109"/>
  <c r="H97" i="109"/>
  <c r="H93" i="109"/>
  <c r="H89" i="109"/>
  <c r="H85" i="109"/>
  <c r="H81" i="109"/>
  <c r="H77" i="109"/>
  <c r="H73" i="109"/>
  <c r="H69" i="109"/>
  <c r="H113" i="109"/>
  <c r="H109" i="109"/>
  <c r="H105" i="109"/>
  <c r="H101" i="109"/>
  <c r="H110" i="109"/>
  <c r="H106" i="109"/>
  <c r="H102" i="109"/>
  <c r="H98" i="109"/>
  <c r="H95" i="109"/>
  <c r="H91" i="109"/>
  <c r="H87" i="109"/>
  <c r="H83" i="109"/>
  <c r="H79" i="109"/>
  <c r="H75" i="109"/>
  <c r="H71" i="109"/>
  <c r="H112" i="109"/>
  <c r="H104" i="109"/>
  <c r="H96" i="109"/>
  <c r="H94" i="109"/>
  <c r="H90" i="109"/>
  <c r="H86" i="109"/>
  <c r="H82" i="109"/>
  <c r="H78" i="109"/>
  <c r="H74" i="109"/>
  <c r="H70" i="109"/>
  <c r="H65" i="109"/>
  <c r="B29" i="109"/>
  <c r="R28" i="109"/>
  <c r="H108" i="109"/>
  <c r="H100" i="109"/>
  <c r="H67" i="109"/>
  <c r="H63" i="109"/>
  <c r="H64" i="109"/>
  <c r="C31" i="109"/>
  <c r="U8" i="109" s="1"/>
  <c r="V8" i="109" s="1"/>
  <c r="R30" i="109"/>
  <c r="B31" i="109" s="1"/>
  <c r="C32" i="109"/>
  <c r="U10" i="109" s="1"/>
  <c r="V10" i="109" s="1"/>
  <c r="R31" i="109"/>
  <c r="B32" i="109" s="1"/>
  <c r="B28" i="109"/>
  <c r="B27" i="109"/>
  <c r="H92" i="109"/>
  <c r="H88" i="109"/>
  <c r="H84" i="109"/>
  <c r="H80" i="109"/>
  <c r="H76" i="109"/>
  <c r="H72" i="109"/>
  <c r="H68" i="109"/>
  <c r="H66" i="109"/>
  <c r="R29" i="109"/>
  <c r="U32" i="109"/>
  <c r="U19" i="109"/>
  <c r="J122" i="109"/>
  <c r="T88" i="109"/>
  <c r="T89" i="109"/>
  <c r="T51" i="109"/>
  <c r="T50" i="109"/>
  <c r="H57" i="109"/>
  <c r="H58" i="109"/>
  <c r="U5" i="109"/>
  <c r="V5" i="109" s="1"/>
  <c r="B23" i="109"/>
  <c r="U22" i="109"/>
  <c r="U38" i="109"/>
  <c r="U28" i="109"/>
  <c r="T67" i="108"/>
  <c r="W24" i="108"/>
  <c r="T66" i="108"/>
  <c r="T52" i="108"/>
  <c r="W17" i="108"/>
  <c r="T53" i="108"/>
  <c r="T91" i="108"/>
  <c r="T90" i="108"/>
  <c r="W36" i="108"/>
  <c r="T79" i="108"/>
  <c r="T78" i="108"/>
  <c r="W30" i="108"/>
  <c r="G58" i="108"/>
  <c r="G57" i="108"/>
  <c r="U7" i="108"/>
  <c r="V7" i="108" s="1"/>
  <c r="T48" i="108"/>
  <c r="W15" i="108"/>
  <c r="V15" i="108"/>
  <c r="X15" i="108" s="1"/>
  <c r="T49" i="108"/>
  <c r="V16" i="108" a="1"/>
  <c r="T80" i="108"/>
  <c r="T81" i="108"/>
  <c r="W31" i="108"/>
  <c r="T76" i="108"/>
  <c r="W29" i="108"/>
  <c r="T77" i="108"/>
  <c r="T55" i="108"/>
  <c r="T54" i="108"/>
  <c r="W18" i="108"/>
  <c r="T64" i="108"/>
  <c r="T65" i="108"/>
  <c r="W23" i="108"/>
  <c r="T47" i="108"/>
  <c r="T46" i="108"/>
  <c r="T88" i="108"/>
  <c r="T89" i="108"/>
  <c r="W35" i="108"/>
  <c r="T75" i="108"/>
  <c r="T74" i="108"/>
  <c r="W28" i="108"/>
  <c r="T59" i="108"/>
  <c r="W20" i="108"/>
  <c r="T58" i="108"/>
  <c r="T83" i="108"/>
  <c r="T82" i="108"/>
  <c r="W32" i="108"/>
  <c r="U9" i="108"/>
  <c r="V9" i="108" s="1"/>
  <c r="I58" i="108"/>
  <c r="I57" i="108"/>
  <c r="T50" i="108"/>
  <c r="W16" i="108"/>
  <c r="T51" i="108"/>
  <c r="T72" i="108"/>
  <c r="W27" i="108"/>
  <c r="T73" i="108"/>
  <c r="H57" i="108"/>
  <c r="U5" i="108"/>
  <c r="V5" i="108" s="1"/>
  <c r="H58" i="108"/>
  <c r="B23" i="108"/>
  <c r="T87" i="108"/>
  <c r="T86" i="108"/>
  <c r="W34" i="108"/>
  <c r="H111" i="108"/>
  <c r="H107" i="108"/>
  <c r="H103" i="108"/>
  <c r="H99" i="108"/>
  <c r="H97" i="108"/>
  <c r="H93" i="108"/>
  <c r="H89" i="108"/>
  <c r="H85" i="108"/>
  <c r="H81" i="108"/>
  <c r="H77" i="108"/>
  <c r="H73" i="108"/>
  <c r="H69" i="108"/>
  <c r="H113" i="108"/>
  <c r="H109" i="108"/>
  <c r="H105" i="108"/>
  <c r="H101" i="108"/>
  <c r="H110" i="108"/>
  <c r="H106" i="108"/>
  <c r="H102" i="108"/>
  <c r="H100" i="108"/>
  <c r="H98" i="108"/>
  <c r="H95" i="108"/>
  <c r="H91" i="108"/>
  <c r="H87" i="108"/>
  <c r="H83" i="108"/>
  <c r="H79" i="108"/>
  <c r="H75" i="108"/>
  <c r="H71" i="108"/>
  <c r="H108" i="108"/>
  <c r="H112" i="108"/>
  <c r="H104" i="108"/>
  <c r="H94" i="108"/>
  <c r="H90" i="108"/>
  <c r="H86" i="108"/>
  <c r="H82" i="108"/>
  <c r="H78" i="108"/>
  <c r="H74" i="108"/>
  <c r="H70" i="108"/>
  <c r="H65" i="108"/>
  <c r="C32" i="108"/>
  <c r="U10" i="108" s="1"/>
  <c r="V10" i="108" s="1"/>
  <c r="R31" i="108"/>
  <c r="B32" i="108" s="1"/>
  <c r="H66" i="108"/>
  <c r="R29" i="108"/>
  <c r="H63" i="108"/>
  <c r="B28" i="108"/>
  <c r="B27" i="108"/>
  <c r="H96" i="108"/>
  <c r="H92" i="108"/>
  <c r="H88" i="108"/>
  <c r="H84" i="108"/>
  <c r="H80" i="108"/>
  <c r="H76" i="108"/>
  <c r="H72" i="108"/>
  <c r="H68" i="108"/>
  <c r="H67" i="108"/>
  <c r="H64" i="108"/>
  <c r="C31" i="108"/>
  <c r="U8" i="108" s="1"/>
  <c r="V8" i="108" s="1"/>
  <c r="R30" i="108"/>
  <c r="B31" i="108" s="1"/>
  <c r="B29" i="108"/>
  <c r="R28" i="108"/>
  <c r="T95" i="108"/>
  <c r="T94" i="108"/>
  <c r="W38" i="108"/>
  <c r="T68" i="108"/>
  <c r="T69" i="108"/>
  <c r="W25" i="108"/>
  <c r="T60" i="108"/>
  <c r="T61" i="108"/>
  <c r="W21" i="108"/>
  <c r="T71" i="108"/>
  <c r="T70" i="108"/>
  <c r="W26" i="108"/>
  <c r="T92" i="108"/>
  <c r="W37" i="108"/>
  <c r="T93" i="108"/>
  <c r="T84" i="108"/>
  <c r="T85" i="108"/>
  <c r="W33" i="108"/>
  <c r="T62" i="108"/>
  <c r="W22" i="108"/>
  <c r="T63" i="108"/>
  <c r="T96" i="108"/>
  <c r="T97" i="108"/>
  <c r="W39" i="108"/>
  <c r="T56" i="108"/>
  <c r="T57" i="108"/>
  <c r="W19" i="108"/>
  <c r="J122" i="107"/>
  <c r="F57" i="107"/>
  <c r="F58" i="107"/>
  <c r="U3" i="107"/>
  <c r="V3" i="107" s="1"/>
  <c r="H58" i="107"/>
  <c r="H57" i="107"/>
  <c r="B23" i="107"/>
  <c r="U5" i="107"/>
  <c r="V5" i="107" s="1"/>
  <c r="R29" i="107"/>
  <c r="H67" i="107"/>
  <c r="H82" i="107"/>
  <c r="H98" i="107"/>
  <c r="H106" i="107"/>
  <c r="R28" i="107"/>
  <c r="H76" i="107"/>
  <c r="H92" i="107"/>
  <c r="R31" i="107"/>
  <c r="B32" i="107" s="1"/>
  <c r="H79" i="107"/>
  <c r="H95" i="107"/>
  <c r="H113" i="107"/>
  <c r="H81" i="107"/>
  <c r="H97" i="107"/>
  <c r="H111" i="107"/>
  <c r="G58" i="107"/>
  <c r="U7" i="107"/>
  <c r="V7" i="107" s="1"/>
  <c r="G57" i="107"/>
  <c r="K70" i="107"/>
  <c r="I70" i="107"/>
  <c r="J70" i="107"/>
  <c r="K86" i="107"/>
  <c r="I86" i="107"/>
  <c r="J86" i="107"/>
  <c r="I100" i="107"/>
  <c r="K100" i="107"/>
  <c r="J100" i="107"/>
  <c r="I108" i="107"/>
  <c r="K108" i="107"/>
  <c r="J108" i="107"/>
  <c r="B29" i="107"/>
  <c r="I80" i="107"/>
  <c r="K80" i="107"/>
  <c r="J80" i="107"/>
  <c r="I96" i="107"/>
  <c r="K96" i="107"/>
  <c r="J96" i="107"/>
  <c r="K66" i="107"/>
  <c r="I66" i="107"/>
  <c r="J66" i="107"/>
  <c r="J83" i="107"/>
  <c r="K83" i="107"/>
  <c r="I83" i="107"/>
  <c r="J101" i="107"/>
  <c r="I101" i="107"/>
  <c r="K101" i="107"/>
  <c r="J69" i="107"/>
  <c r="I69" i="107"/>
  <c r="K69" i="107"/>
  <c r="J85" i="107"/>
  <c r="I85" i="107"/>
  <c r="K85" i="107"/>
  <c r="H99" i="107"/>
  <c r="I122" i="107"/>
  <c r="T47" i="107"/>
  <c r="T46" i="107"/>
  <c r="J64" i="107"/>
  <c r="I64" i="107"/>
  <c r="K64" i="107"/>
  <c r="K74" i="107"/>
  <c r="I74" i="107"/>
  <c r="J74" i="107"/>
  <c r="K90" i="107"/>
  <c r="I90" i="107"/>
  <c r="J90" i="107"/>
  <c r="K102" i="107"/>
  <c r="I102" i="107"/>
  <c r="J102" i="107"/>
  <c r="K110" i="107"/>
  <c r="I110" i="107"/>
  <c r="J110" i="107"/>
  <c r="I65" i="107"/>
  <c r="J65" i="107"/>
  <c r="K65" i="107"/>
  <c r="I84" i="107"/>
  <c r="K84" i="107"/>
  <c r="J84" i="107"/>
  <c r="H71" i="107"/>
  <c r="H87" i="107"/>
  <c r="H105" i="107"/>
  <c r="H73" i="107"/>
  <c r="H89" i="107"/>
  <c r="H103" i="107"/>
  <c r="J123" i="107"/>
  <c r="H68" i="107"/>
  <c r="H63" i="107"/>
  <c r="H78" i="107"/>
  <c r="H94" i="107"/>
  <c r="H104" i="107"/>
  <c r="H112" i="107"/>
  <c r="H72" i="107"/>
  <c r="H88" i="107"/>
  <c r="R30" i="107"/>
  <c r="B31" i="107" s="1"/>
  <c r="H75" i="107"/>
  <c r="H91" i="107"/>
  <c r="H109" i="107"/>
  <c r="H77" i="107"/>
  <c r="H93" i="107"/>
  <c r="H107" i="107"/>
  <c r="G58" i="106"/>
  <c r="G57" i="106"/>
  <c r="U7" i="106"/>
  <c r="V7" i="106" s="1"/>
  <c r="T63" i="106"/>
  <c r="W22" i="106"/>
  <c r="T62" i="106"/>
  <c r="T64" i="106"/>
  <c r="T65" i="106"/>
  <c r="W23" i="106"/>
  <c r="T96" i="106"/>
  <c r="T97" i="106"/>
  <c r="W39" i="106"/>
  <c r="T76" i="106"/>
  <c r="T77" i="106"/>
  <c r="W29" i="106"/>
  <c r="T68" i="106"/>
  <c r="T69" i="106"/>
  <c r="W25" i="106"/>
  <c r="T84" i="106"/>
  <c r="T85" i="106"/>
  <c r="W33" i="106"/>
  <c r="T90" i="106"/>
  <c r="W36" i="106"/>
  <c r="T91" i="106"/>
  <c r="T67" i="106"/>
  <c r="T66" i="106"/>
  <c r="W24" i="106"/>
  <c r="T51" i="106"/>
  <c r="T50" i="106"/>
  <c r="W16" i="106"/>
  <c r="T82" i="106"/>
  <c r="T83" i="106"/>
  <c r="W32" i="106"/>
  <c r="T72" i="106"/>
  <c r="T73" i="106"/>
  <c r="W27" i="106"/>
  <c r="T86" i="106"/>
  <c r="T87" i="106"/>
  <c r="W34" i="106"/>
  <c r="H58" i="106"/>
  <c r="B23" i="106"/>
  <c r="U5" i="106"/>
  <c r="V5" i="106" s="1"/>
  <c r="H57" i="106"/>
  <c r="T49" i="106"/>
  <c r="V16" i="106" a="1"/>
  <c r="T48" i="106"/>
  <c r="W15" i="106"/>
  <c r="V15" i="106"/>
  <c r="X15" i="106" s="1"/>
  <c r="T46" i="106"/>
  <c r="T47" i="106"/>
  <c r="T70" i="106"/>
  <c r="T71" i="106"/>
  <c r="W26" i="106"/>
  <c r="T55" i="106"/>
  <c r="W18" i="106"/>
  <c r="T54" i="106"/>
  <c r="T94" i="106"/>
  <c r="T95" i="106"/>
  <c r="W38" i="106"/>
  <c r="T78" i="106"/>
  <c r="T79" i="106"/>
  <c r="W30" i="106"/>
  <c r="T88" i="106"/>
  <c r="T89" i="106"/>
  <c r="W35" i="106"/>
  <c r="I57" i="106"/>
  <c r="U9" i="106"/>
  <c r="V9" i="106" s="1"/>
  <c r="I58" i="106"/>
  <c r="H111" i="106"/>
  <c r="H107" i="106"/>
  <c r="H103" i="106"/>
  <c r="H99" i="106"/>
  <c r="H97" i="106"/>
  <c r="H93" i="106"/>
  <c r="H89" i="106"/>
  <c r="H85" i="106"/>
  <c r="H81" i="106"/>
  <c r="H77" i="106"/>
  <c r="H73" i="106"/>
  <c r="H69" i="106"/>
  <c r="H113" i="106"/>
  <c r="H109" i="106"/>
  <c r="H105" i="106"/>
  <c r="H101" i="106"/>
  <c r="H95" i="106"/>
  <c r="H91" i="106"/>
  <c r="H87" i="106"/>
  <c r="H83" i="106"/>
  <c r="H79" i="106"/>
  <c r="H75" i="106"/>
  <c r="H71" i="106"/>
  <c r="H96" i="106"/>
  <c r="H92" i="106"/>
  <c r="H88" i="106"/>
  <c r="H84" i="106"/>
  <c r="H80" i="106"/>
  <c r="H76" i="106"/>
  <c r="H72" i="106"/>
  <c r="H65" i="106"/>
  <c r="H64" i="106"/>
  <c r="H112" i="106"/>
  <c r="H110" i="106"/>
  <c r="H108" i="106"/>
  <c r="H106" i="106"/>
  <c r="H104" i="106"/>
  <c r="H102" i="106"/>
  <c r="H100" i="106"/>
  <c r="H98" i="106"/>
  <c r="H94" i="106"/>
  <c r="H90" i="106"/>
  <c r="H86" i="106"/>
  <c r="H82" i="106"/>
  <c r="H78" i="106"/>
  <c r="H74" i="106"/>
  <c r="H70" i="106"/>
  <c r="H68" i="106"/>
  <c r="H67" i="106"/>
  <c r="H66" i="106"/>
  <c r="R31" i="106"/>
  <c r="B32" i="106" s="1"/>
  <c r="R30" i="106"/>
  <c r="B31" i="106" s="1"/>
  <c r="B28" i="106"/>
  <c r="B27" i="106"/>
  <c r="B29" i="106"/>
  <c r="C31" i="106"/>
  <c r="U8" i="106" s="1"/>
  <c r="V8" i="106" s="1"/>
  <c r="H63" i="106"/>
  <c r="R29" i="106"/>
  <c r="C32" i="106"/>
  <c r="U10" i="106" s="1"/>
  <c r="V10" i="106" s="1"/>
  <c r="R28" i="106"/>
  <c r="T59" i="106"/>
  <c r="T58" i="106"/>
  <c r="W20" i="106"/>
  <c r="T53" i="106"/>
  <c r="T52" i="106"/>
  <c r="W17" i="106"/>
  <c r="T80" i="106"/>
  <c r="T81" i="106"/>
  <c r="W31" i="106"/>
  <c r="T60" i="106"/>
  <c r="T61" i="106"/>
  <c r="W21" i="106"/>
  <c r="T57" i="106"/>
  <c r="T56" i="106"/>
  <c r="W19" i="106"/>
  <c r="T74" i="106"/>
  <c r="T75" i="106"/>
  <c r="W28" i="106"/>
  <c r="T92" i="106"/>
  <c r="T93" i="106"/>
  <c r="W37" i="106"/>
  <c r="T60" i="105"/>
  <c r="T61" i="105"/>
  <c r="W21" i="105"/>
  <c r="T68" i="105"/>
  <c r="T69" i="105"/>
  <c r="W25" i="105"/>
  <c r="T58" i="105"/>
  <c r="W20" i="105"/>
  <c r="T59" i="105"/>
  <c r="T47" i="105"/>
  <c r="T46" i="105"/>
  <c r="T71" i="105"/>
  <c r="T70" i="105"/>
  <c r="W26" i="105"/>
  <c r="T94" i="105"/>
  <c r="T95" i="105"/>
  <c r="W38" i="105"/>
  <c r="H57" i="105"/>
  <c r="U5" i="105"/>
  <c r="V5" i="105" s="1"/>
  <c r="H58" i="105"/>
  <c r="B23" i="105"/>
  <c r="I58" i="105"/>
  <c r="I57" i="105"/>
  <c r="U9" i="105"/>
  <c r="V9" i="105" s="1"/>
  <c r="T76" i="105"/>
  <c r="T77" i="105"/>
  <c r="W29" i="105"/>
  <c r="W32" i="105"/>
  <c r="T83" i="105"/>
  <c r="T82" i="105"/>
  <c r="T62" i="105"/>
  <c r="T63" i="105"/>
  <c r="W22" i="105"/>
  <c r="T52" i="105"/>
  <c r="T53" i="105"/>
  <c r="W17" i="105"/>
  <c r="T72" i="105"/>
  <c r="T73" i="105"/>
  <c r="W27" i="105"/>
  <c r="W30" i="105"/>
  <c r="T79" i="105"/>
  <c r="T78" i="105"/>
  <c r="H111" i="105"/>
  <c r="H107" i="105"/>
  <c r="H103" i="105"/>
  <c r="H99" i="105"/>
  <c r="H97" i="105"/>
  <c r="H93" i="105"/>
  <c r="H89" i="105"/>
  <c r="H85" i="105"/>
  <c r="H81" i="105"/>
  <c r="H77" i="105"/>
  <c r="H73" i="105"/>
  <c r="H69" i="105"/>
  <c r="H110" i="105"/>
  <c r="H106" i="105"/>
  <c r="H102" i="105"/>
  <c r="H98" i="105"/>
  <c r="H94" i="105"/>
  <c r="H96" i="105"/>
  <c r="H112" i="105"/>
  <c r="H108" i="105"/>
  <c r="H113" i="105"/>
  <c r="H109" i="105"/>
  <c r="H105" i="105"/>
  <c r="H101" i="105"/>
  <c r="H92" i="105"/>
  <c r="H88" i="105"/>
  <c r="H84" i="105"/>
  <c r="H80" i="105"/>
  <c r="H76" i="105"/>
  <c r="H72" i="105"/>
  <c r="H68" i="105"/>
  <c r="H67" i="105"/>
  <c r="H63" i="105"/>
  <c r="C32" i="105"/>
  <c r="U10" i="105" s="1"/>
  <c r="V10" i="105" s="1"/>
  <c r="C31" i="105"/>
  <c r="U8" i="105" s="1"/>
  <c r="V8" i="105" s="1"/>
  <c r="R29" i="105"/>
  <c r="H90" i="105"/>
  <c r="H86" i="105"/>
  <c r="H82" i="105"/>
  <c r="H78" i="105"/>
  <c r="H74" i="105"/>
  <c r="H70" i="105"/>
  <c r="H64" i="105"/>
  <c r="R30" i="105"/>
  <c r="B31" i="105" s="1"/>
  <c r="B28" i="105"/>
  <c r="B27" i="105"/>
  <c r="H95" i="105"/>
  <c r="H91" i="105"/>
  <c r="H87" i="105"/>
  <c r="H83" i="105"/>
  <c r="H79" i="105"/>
  <c r="H75" i="105"/>
  <c r="H71" i="105"/>
  <c r="H65" i="105"/>
  <c r="B29" i="105"/>
  <c r="R28" i="105"/>
  <c r="H104" i="105"/>
  <c r="H100" i="105"/>
  <c r="H66" i="105"/>
  <c r="R31" i="105"/>
  <c r="B32" i="105" s="1"/>
  <c r="T50" i="105"/>
  <c r="W16" i="105"/>
  <c r="T51" i="105"/>
  <c r="W34" i="105"/>
  <c r="T87" i="105"/>
  <c r="T86" i="105"/>
  <c r="T84" i="105"/>
  <c r="T85" i="105"/>
  <c r="W33" i="105"/>
  <c r="W28" i="105"/>
  <c r="T75" i="105"/>
  <c r="T74" i="105"/>
  <c r="T64" i="105"/>
  <c r="T65" i="105"/>
  <c r="W23" i="105"/>
  <c r="T88" i="105"/>
  <c r="T89" i="105"/>
  <c r="W35" i="105"/>
  <c r="T80" i="105"/>
  <c r="T81" i="105"/>
  <c r="W31" i="105"/>
  <c r="G57" i="105"/>
  <c r="G58" i="105"/>
  <c r="U7" i="105"/>
  <c r="V7" i="105" s="1"/>
  <c r="T54" i="105"/>
  <c r="T55" i="105"/>
  <c r="W18" i="105"/>
  <c r="T57" i="105"/>
  <c r="W19" i="105"/>
  <c r="T56" i="105"/>
  <c r="T49" i="105"/>
  <c r="V15" i="105"/>
  <c r="X15" i="105" s="1"/>
  <c r="V16" i="105" a="1"/>
  <c r="T48" i="105"/>
  <c r="W15" i="105"/>
  <c r="T96" i="105"/>
  <c r="T97" i="105"/>
  <c r="W39" i="105"/>
  <c r="T66" i="105"/>
  <c r="T67" i="105"/>
  <c r="W24" i="105"/>
  <c r="T92" i="105"/>
  <c r="T93" i="105"/>
  <c r="W37" i="105"/>
  <c r="W36" i="105"/>
  <c r="T91" i="105"/>
  <c r="T90" i="105"/>
  <c r="H111" i="104"/>
  <c r="H107" i="104"/>
  <c r="H103" i="104"/>
  <c r="H99" i="104"/>
  <c r="H97" i="104"/>
  <c r="H93" i="104"/>
  <c r="H89" i="104"/>
  <c r="H85" i="104"/>
  <c r="H81" i="104"/>
  <c r="H77" i="104"/>
  <c r="H73" i="104"/>
  <c r="H69" i="104"/>
  <c r="H113" i="104"/>
  <c r="H110" i="104"/>
  <c r="H106" i="104"/>
  <c r="H102" i="104"/>
  <c r="H108" i="104"/>
  <c r="H104" i="104"/>
  <c r="H100" i="104"/>
  <c r="H96" i="104"/>
  <c r="H92" i="104"/>
  <c r="H88" i="104"/>
  <c r="H84" i="104"/>
  <c r="H80" i="104"/>
  <c r="H76" i="104"/>
  <c r="H72" i="104"/>
  <c r="H68" i="104"/>
  <c r="H109" i="104"/>
  <c r="H105" i="104"/>
  <c r="H101" i="104"/>
  <c r="H98" i="104"/>
  <c r="H94" i="104"/>
  <c r="H90" i="104"/>
  <c r="H86" i="104"/>
  <c r="H82" i="104"/>
  <c r="H112" i="104"/>
  <c r="H95" i="104"/>
  <c r="H91" i="104"/>
  <c r="H87" i="104"/>
  <c r="H83" i="104"/>
  <c r="H79" i="104"/>
  <c r="H75" i="104"/>
  <c r="H71" i="104"/>
  <c r="H64" i="104"/>
  <c r="C32" i="104"/>
  <c r="U10" i="104" s="1"/>
  <c r="V10" i="104" s="1"/>
  <c r="C31" i="104"/>
  <c r="U8" i="104" s="1"/>
  <c r="V8" i="104" s="1"/>
  <c r="H66" i="104"/>
  <c r="R30" i="104"/>
  <c r="B31" i="104" s="1"/>
  <c r="B28" i="104"/>
  <c r="B27" i="104"/>
  <c r="H74" i="104"/>
  <c r="H67" i="104"/>
  <c r="H63" i="104"/>
  <c r="R31" i="104"/>
  <c r="B32" i="104" s="1"/>
  <c r="B29" i="104"/>
  <c r="R28" i="104"/>
  <c r="H78" i="104"/>
  <c r="H70" i="104"/>
  <c r="H65" i="104"/>
  <c r="R29" i="104"/>
  <c r="F58" i="104"/>
  <c r="U3" i="104"/>
  <c r="V3" i="104" s="1"/>
  <c r="F57" i="104"/>
  <c r="I57" i="104"/>
  <c r="I58" i="104"/>
  <c r="U9" i="104"/>
  <c r="V9" i="104" s="1"/>
  <c r="G57" i="104"/>
  <c r="U7" i="104"/>
  <c r="V7" i="104" s="1"/>
  <c r="G58" i="104"/>
  <c r="T67" i="102"/>
  <c r="T66" i="102"/>
  <c r="W24" i="102"/>
  <c r="T58" i="102"/>
  <c r="W20" i="102"/>
  <c r="T59" i="102"/>
  <c r="T68" i="102"/>
  <c r="T69" i="102"/>
  <c r="W25" i="102"/>
  <c r="T88" i="102"/>
  <c r="T89" i="102"/>
  <c r="W35" i="102"/>
  <c r="H111" i="102"/>
  <c r="H107" i="102"/>
  <c r="H103" i="102"/>
  <c r="H99" i="102"/>
  <c r="H97" i="102"/>
  <c r="H93" i="102"/>
  <c r="H89" i="102"/>
  <c r="H113" i="102"/>
  <c r="H109" i="102"/>
  <c r="H105" i="102"/>
  <c r="H101" i="102"/>
  <c r="H95" i="102"/>
  <c r="H91" i="102"/>
  <c r="H87" i="102"/>
  <c r="H83" i="102"/>
  <c r="H79" i="102"/>
  <c r="H75" i="102"/>
  <c r="H71" i="102"/>
  <c r="H96" i="102"/>
  <c r="H92" i="102"/>
  <c r="H88" i="102"/>
  <c r="H84" i="102"/>
  <c r="H80" i="102"/>
  <c r="H76" i="102"/>
  <c r="H72" i="102"/>
  <c r="H65" i="102"/>
  <c r="B29" i="102"/>
  <c r="R28" i="102"/>
  <c r="H85" i="102"/>
  <c r="H81" i="102"/>
  <c r="H77" i="102"/>
  <c r="H73" i="102"/>
  <c r="H69" i="102"/>
  <c r="H68" i="102"/>
  <c r="H64" i="102"/>
  <c r="H112" i="102"/>
  <c r="H110" i="102"/>
  <c r="H108" i="102"/>
  <c r="H106" i="102"/>
  <c r="H104" i="102"/>
  <c r="H102" i="102"/>
  <c r="H100" i="102"/>
  <c r="H98" i="102"/>
  <c r="H94" i="102"/>
  <c r="H90" i="102"/>
  <c r="H86" i="102"/>
  <c r="H82" i="102"/>
  <c r="H66" i="102"/>
  <c r="H74" i="102"/>
  <c r="C31" i="102"/>
  <c r="U8" i="102" s="1"/>
  <c r="V8" i="102" s="1"/>
  <c r="R30" i="102"/>
  <c r="B31" i="102" s="1"/>
  <c r="B27" i="102"/>
  <c r="H67" i="102"/>
  <c r="R31" i="102"/>
  <c r="B32" i="102" s="1"/>
  <c r="B28" i="102"/>
  <c r="H78" i="102"/>
  <c r="H70" i="102"/>
  <c r="H63" i="102"/>
  <c r="C32" i="102"/>
  <c r="U10" i="102" s="1"/>
  <c r="V10" i="102" s="1"/>
  <c r="R29" i="102"/>
  <c r="T90" i="102"/>
  <c r="W36" i="102"/>
  <c r="T91" i="102"/>
  <c r="T60" i="102"/>
  <c r="W21" i="102"/>
  <c r="T61" i="102"/>
  <c r="T84" i="102"/>
  <c r="T85" i="102"/>
  <c r="W33" i="102"/>
  <c r="W18" i="102"/>
  <c r="T55" i="102"/>
  <c r="T54" i="102"/>
  <c r="T48" i="102"/>
  <c r="T49" i="102"/>
  <c r="V15" i="102"/>
  <c r="X15" i="102" s="1"/>
  <c r="V16" i="102" a="1"/>
  <c r="W15" i="102"/>
  <c r="T82" i="102"/>
  <c r="T83" i="102"/>
  <c r="W32" i="102"/>
  <c r="T64" i="102"/>
  <c r="T65" i="102"/>
  <c r="W23" i="102"/>
  <c r="T80" i="102"/>
  <c r="T81" i="102"/>
  <c r="W31" i="102"/>
  <c r="T46" i="102"/>
  <c r="T47" i="102"/>
  <c r="T76" i="102"/>
  <c r="W29" i="102"/>
  <c r="T77" i="102"/>
  <c r="T52" i="102"/>
  <c r="T53" i="102"/>
  <c r="W17" i="102"/>
  <c r="F58" i="102"/>
  <c r="F57" i="102"/>
  <c r="U3" i="102"/>
  <c r="V3" i="102" s="1"/>
  <c r="T92" i="102"/>
  <c r="T93" i="102"/>
  <c r="W37" i="102"/>
  <c r="T94" i="102"/>
  <c r="T95" i="102"/>
  <c r="W38" i="102"/>
  <c r="T74" i="102"/>
  <c r="T75" i="102"/>
  <c r="W28" i="102"/>
  <c r="T78" i="102"/>
  <c r="T79" i="102"/>
  <c r="W30" i="102"/>
  <c r="T63" i="102"/>
  <c r="T62" i="102"/>
  <c r="W22" i="102"/>
  <c r="T51" i="102"/>
  <c r="W16" i="102"/>
  <c r="T50" i="102"/>
  <c r="I57" i="102"/>
  <c r="I58" i="102"/>
  <c r="U9" i="102"/>
  <c r="V9" i="102" s="1"/>
  <c r="T56" i="102"/>
  <c r="T57" i="102"/>
  <c r="W19" i="102"/>
  <c r="T96" i="102"/>
  <c r="T97" i="102"/>
  <c r="W39" i="102"/>
  <c r="T70" i="102"/>
  <c r="T71" i="102"/>
  <c r="W26" i="102"/>
  <c r="T72" i="102"/>
  <c r="T73" i="102"/>
  <c r="W27" i="102"/>
  <c r="T86" i="102"/>
  <c r="T87" i="102"/>
  <c r="W34" i="102"/>
  <c r="J122" i="101"/>
  <c r="I57" i="101"/>
  <c r="I58" i="101"/>
  <c r="U9" i="101"/>
  <c r="V9" i="101" s="1"/>
  <c r="R31" i="101"/>
  <c r="B32" i="101" s="1"/>
  <c r="H74" i="101"/>
  <c r="R28" i="101"/>
  <c r="H70" i="101"/>
  <c r="H86" i="101"/>
  <c r="H104" i="101"/>
  <c r="H90" i="101"/>
  <c r="H112" i="101"/>
  <c r="H69" i="101"/>
  <c r="H99" i="101"/>
  <c r="H66" i="101"/>
  <c r="H75" i="101"/>
  <c r="H91" i="101"/>
  <c r="H109" i="101"/>
  <c r="U33" i="101"/>
  <c r="U15" i="101"/>
  <c r="W16" i="101" s="1"/>
  <c r="U38" i="101"/>
  <c r="U17" i="101"/>
  <c r="U37" i="101"/>
  <c r="U27" i="101"/>
  <c r="W28" i="101" s="1"/>
  <c r="H76" i="101"/>
  <c r="H64" i="101"/>
  <c r="H89" i="101"/>
  <c r="H63" i="101"/>
  <c r="H72" i="101"/>
  <c r="H88" i="101"/>
  <c r="H110" i="101"/>
  <c r="H92" i="101"/>
  <c r="R29" i="101"/>
  <c r="H77" i="101"/>
  <c r="H100" i="101"/>
  <c r="H103" i="101"/>
  <c r="H79" i="101"/>
  <c r="H95" i="101"/>
  <c r="H113" i="101"/>
  <c r="T88" i="101"/>
  <c r="W35" i="101"/>
  <c r="T89" i="101"/>
  <c r="T61" i="101"/>
  <c r="T60" i="101"/>
  <c r="T51" i="101"/>
  <c r="T50" i="101"/>
  <c r="T62" i="101"/>
  <c r="W22" i="101"/>
  <c r="T63" i="101"/>
  <c r="U23" i="101"/>
  <c r="W24" i="101" s="1"/>
  <c r="U30" i="101"/>
  <c r="W31" i="101" s="1"/>
  <c r="H81" i="101"/>
  <c r="H68" i="101"/>
  <c r="H97" i="101"/>
  <c r="H67" i="101"/>
  <c r="H78" i="101"/>
  <c r="H94" i="101"/>
  <c r="H82" i="101"/>
  <c r="H98" i="101"/>
  <c r="C31" i="101"/>
  <c r="U8" i="101" s="1"/>
  <c r="V8" i="101" s="1"/>
  <c r="H85" i="101"/>
  <c r="H107" i="101"/>
  <c r="H111" i="101"/>
  <c r="H83" i="101"/>
  <c r="H101" i="101"/>
  <c r="T57" i="101"/>
  <c r="T56" i="101"/>
  <c r="W39" i="101"/>
  <c r="T96" i="101"/>
  <c r="T97" i="101"/>
  <c r="W25" i="101"/>
  <c r="T68" i="101"/>
  <c r="T69" i="101"/>
  <c r="T74" i="101"/>
  <c r="T75" i="101"/>
  <c r="T86" i="101"/>
  <c r="T87" i="101"/>
  <c r="T66" i="101"/>
  <c r="T67" i="101"/>
  <c r="T80" i="101"/>
  <c r="T81" i="101"/>
  <c r="F58" i="101"/>
  <c r="F57" i="101"/>
  <c r="U3" i="101"/>
  <c r="V3" i="101" s="1"/>
  <c r="H58" i="101"/>
  <c r="U5" i="101"/>
  <c r="V5" i="101" s="1"/>
  <c r="B23" i="101"/>
  <c r="H57" i="101"/>
  <c r="B28" i="101"/>
  <c r="R30" i="101"/>
  <c r="B31" i="101" s="1"/>
  <c r="H73" i="101"/>
  <c r="H102" i="101"/>
  <c r="H65" i="101"/>
  <c r="H80" i="101"/>
  <c r="H96" i="101"/>
  <c r="H84" i="101"/>
  <c r="H106" i="101"/>
  <c r="C32" i="101"/>
  <c r="U10" i="101" s="1"/>
  <c r="V10" i="101" s="1"/>
  <c r="H93" i="101"/>
  <c r="H108" i="101"/>
  <c r="H71" i="101"/>
  <c r="H87" i="101"/>
  <c r="H105" i="101"/>
  <c r="U20" i="101"/>
  <c r="W21" i="101" s="1"/>
  <c r="U18" i="101"/>
  <c r="W19" i="101" s="1"/>
  <c r="U32" i="101"/>
  <c r="T47" i="101"/>
  <c r="T46" i="101"/>
  <c r="U29" i="101"/>
  <c r="U26" i="101"/>
  <c r="U36" i="101"/>
  <c r="T72" i="100"/>
  <c r="T73" i="100"/>
  <c r="W27" i="100"/>
  <c r="F57" i="100"/>
  <c r="U3" i="100"/>
  <c r="V3" i="100" s="1"/>
  <c r="F58" i="100"/>
  <c r="T88" i="100"/>
  <c r="T89" i="100"/>
  <c r="W35" i="100"/>
  <c r="T94" i="100"/>
  <c r="T95" i="100"/>
  <c r="W38" i="100"/>
  <c r="T80" i="100"/>
  <c r="T81" i="100"/>
  <c r="W31" i="100"/>
  <c r="T67" i="100"/>
  <c r="T66" i="100"/>
  <c r="W24" i="100"/>
  <c r="G58" i="100"/>
  <c r="G57" i="100"/>
  <c r="U7" i="100"/>
  <c r="V7" i="100" s="1"/>
  <c r="C32" i="100"/>
  <c r="U10" i="100" s="1"/>
  <c r="V10" i="100" s="1"/>
  <c r="R31" i="100"/>
  <c r="B32" i="100" s="1"/>
  <c r="H100" i="100"/>
  <c r="H76" i="100"/>
  <c r="H92" i="100"/>
  <c r="H79" i="100"/>
  <c r="H96" i="100"/>
  <c r="H65" i="100"/>
  <c r="H82" i="100"/>
  <c r="H106" i="100"/>
  <c r="H105" i="100"/>
  <c r="H73" i="100"/>
  <c r="H89" i="100"/>
  <c r="H103" i="100"/>
  <c r="W18" i="100"/>
  <c r="T55" i="100"/>
  <c r="T54" i="100"/>
  <c r="T64" i="100"/>
  <c r="T65" i="100"/>
  <c r="W23" i="100"/>
  <c r="T48" i="100"/>
  <c r="T49" i="100"/>
  <c r="V16" i="100" a="1"/>
  <c r="W15" i="100"/>
  <c r="V15" i="100"/>
  <c r="X15" i="100" s="1"/>
  <c r="T56" i="100"/>
  <c r="T57" i="100"/>
  <c r="W19" i="100"/>
  <c r="T96" i="100"/>
  <c r="T97" i="100"/>
  <c r="W39" i="100"/>
  <c r="T60" i="100"/>
  <c r="W21" i="100"/>
  <c r="T61" i="100"/>
  <c r="T74" i="100"/>
  <c r="T75" i="100"/>
  <c r="W28" i="100"/>
  <c r="T52" i="100"/>
  <c r="T53" i="100"/>
  <c r="W17" i="100"/>
  <c r="H63" i="100"/>
  <c r="H68" i="100"/>
  <c r="H66" i="100"/>
  <c r="H104" i="100"/>
  <c r="H80" i="100"/>
  <c r="H64" i="100"/>
  <c r="H83" i="100"/>
  <c r="H108" i="100"/>
  <c r="H70" i="100"/>
  <c r="H86" i="100"/>
  <c r="H110" i="100"/>
  <c r="H109" i="100"/>
  <c r="H77" i="100"/>
  <c r="H93" i="100"/>
  <c r="H107" i="100"/>
  <c r="T59" i="100"/>
  <c r="W20" i="100"/>
  <c r="T58" i="100"/>
  <c r="T63" i="100"/>
  <c r="T62" i="100"/>
  <c r="W22" i="100"/>
  <c r="T84" i="100"/>
  <c r="T85" i="100"/>
  <c r="W33" i="100"/>
  <c r="T68" i="100"/>
  <c r="T69" i="100"/>
  <c r="W25" i="100"/>
  <c r="T47" i="100"/>
  <c r="T46" i="100"/>
  <c r="H67" i="100"/>
  <c r="C31" i="100"/>
  <c r="U8" i="100" s="1"/>
  <c r="V8" i="100" s="1"/>
  <c r="H94" i="100"/>
  <c r="H112" i="100"/>
  <c r="H84" i="100"/>
  <c r="H71" i="100"/>
  <c r="H87" i="100"/>
  <c r="R28" i="100"/>
  <c r="H74" i="100"/>
  <c r="H90" i="100"/>
  <c r="H95" i="100"/>
  <c r="H113" i="100"/>
  <c r="H81" i="100"/>
  <c r="H97" i="100"/>
  <c r="H111" i="100"/>
  <c r="T76" i="100"/>
  <c r="W29" i="100"/>
  <c r="T77" i="100"/>
  <c r="T86" i="100"/>
  <c r="T87" i="100"/>
  <c r="W34" i="100"/>
  <c r="T82" i="100"/>
  <c r="T83" i="100"/>
  <c r="W32" i="100"/>
  <c r="T92" i="100"/>
  <c r="W37" i="100"/>
  <c r="T93" i="100"/>
  <c r="T70" i="100"/>
  <c r="T71" i="100"/>
  <c r="W26" i="100"/>
  <c r="R29" i="100"/>
  <c r="B28" i="100"/>
  <c r="R30" i="100"/>
  <c r="B31" i="100" s="1"/>
  <c r="H98" i="100"/>
  <c r="H72" i="100"/>
  <c r="H88" i="100"/>
  <c r="H75" i="100"/>
  <c r="H91" i="100"/>
  <c r="H78" i="100"/>
  <c r="H102" i="100"/>
  <c r="H101" i="100"/>
  <c r="H69" i="100"/>
  <c r="H85" i="100"/>
  <c r="H99" i="100"/>
  <c r="T51" i="100"/>
  <c r="T50" i="100"/>
  <c r="W16" i="100"/>
  <c r="T78" i="100"/>
  <c r="T79" i="100"/>
  <c r="W30" i="100"/>
  <c r="H111" i="99"/>
  <c r="H107" i="99"/>
  <c r="H103" i="99"/>
  <c r="H99" i="99"/>
  <c r="H97" i="99"/>
  <c r="H93" i="99"/>
  <c r="H89" i="99"/>
  <c r="H85" i="99"/>
  <c r="H81" i="99"/>
  <c r="H77" i="99"/>
  <c r="H73" i="99"/>
  <c r="H69" i="99"/>
  <c r="H113" i="99"/>
  <c r="H109" i="99"/>
  <c r="H105" i="99"/>
  <c r="H101" i="99"/>
  <c r="H110" i="99"/>
  <c r="H106" i="99"/>
  <c r="H102" i="99"/>
  <c r="H98" i="99"/>
  <c r="H94" i="99"/>
  <c r="H96" i="99"/>
  <c r="H91" i="99"/>
  <c r="H87" i="99"/>
  <c r="H83" i="99"/>
  <c r="H79" i="99"/>
  <c r="H75" i="99"/>
  <c r="H71" i="99"/>
  <c r="H108" i="99"/>
  <c r="H100" i="99"/>
  <c r="H95" i="99"/>
  <c r="H92" i="99"/>
  <c r="H88" i="99"/>
  <c r="H84" i="99"/>
  <c r="H80" i="99"/>
  <c r="H76" i="99"/>
  <c r="H72" i="99"/>
  <c r="H68" i="99"/>
  <c r="H67" i="99"/>
  <c r="H63" i="99"/>
  <c r="C32" i="99"/>
  <c r="U10" i="99" s="1"/>
  <c r="V10" i="99" s="1"/>
  <c r="C31" i="99"/>
  <c r="U8" i="99" s="1"/>
  <c r="V8" i="99" s="1"/>
  <c r="R29" i="99"/>
  <c r="H112" i="99"/>
  <c r="H104" i="99"/>
  <c r="H90" i="99"/>
  <c r="H86" i="99"/>
  <c r="H82" i="99"/>
  <c r="H78" i="99"/>
  <c r="H74" i="99"/>
  <c r="H70" i="99"/>
  <c r="H65" i="99"/>
  <c r="B29" i="99"/>
  <c r="R28" i="99"/>
  <c r="H64" i="99"/>
  <c r="H66" i="99"/>
  <c r="R31" i="99"/>
  <c r="B32" i="99" s="1"/>
  <c r="B28" i="99"/>
  <c r="B27" i="99"/>
  <c r="R30" i="99"/>
  <c r="B31" i="99" s="1"/>
  <c r="F57" i="99"/>
  <c r="F58" i="99"/>
  <c r="U3" i="99"/>
  <c r="V3" i="99" s="1"/>
  <c r="G58" i="99"/>
  <c r="G57" i="99"/>
  <c r="U7" i="99"/>
  <c r="V7" i="99" s="1"/>
  <c r="B29" i="98"/>
  <c r="B13" i="98"/>
  <c r="I123" i="98"/>
  <c r="B28" i="98"/>
  <c r="R31" i="98"/>
  <c r="B32" i="98" s="1"/>
  <c r="H76" i="98"/>
  <c r="H92" i="98"/>
  <c r="C32" i="98"/>
  <c r="U10" i="98" s="1"/>
  <c r="V10" i="98" s="1"/>
  <c r="H70" i="98"/>
  <c r="H86" i="98"/>
  <c r="H100" i="98"/>
  <c r="H108" i="98"/>
  <c r="H75" i="98"/>
  <c r="H91" i="98"/>
  <c r="H109" i="98"/>
  <c r="H77" i="98"/>
  <c r="H93" i="98"/>
  <c r="H107" i="98"/>
  <c r="U15" i="98"/>
  <c r="U16" i="98"/>
  <c r="U25" i="98"/>
  <c r="U34" i="98"/>
  <c r="U17" i="98"/>
  <c r="U27" i="98"/>
  <c r="U5" i="98"/>
  <c r="V5" i="98" s="1"/>
  <c r="B23" i="98"/>
  <c r="H58" i="98"/>
  <c r="H57" i="98"/>
  <c r="R28" i="98"/>
  <c r="H80" i="98"/>
  <c r="H96" i="98"/>
  <c r="H63" i="98"/>
  <c r="H74" i="98"/>
  <c r="H90" i="98"/>
  <c r="H102" i="98"/>
  <c r="H110" i="98"/>
  <c r="H79" i="98"/>
  <c r="H95" i="98"/>
  <c r="H113" i="98"/>
  <c r="H81" i="98"/>
  <c r="H97" i="98"/>
  <c r="H111" i="98"/>
  <c r="U33" i="98"/>
  <c r="U18" i="98"/>
  <c r="U32" i="98"/>
  <c r="U29" i="98"/>
  <c r="U23" i="98"/>
  <c r="U30" i="98"/>
  <c r="H66" i="98"/>
  <c r="H64" i="98"/>
  <c r="H84" i="98"/>
  <c r="R29" i="98"/>
  <c r="H67" i="98"/>
  <c r="H78" i="98"/>
  <c r="H94" i="98"/>
  <c r="H104" i="98"/>
  <c r="H112" i="98"/>
  <c r="H83" i="98"/>
  <c r="H101" i="98"/>
  <c r="H69" i="98"/>
  <c r="H85" i="98"/>
  <c r="H99" i="98"/>
  <c r="U22" i="98"/>
  <c r="U35" i="98"/>
  <c r="U19" i="98"/>
  <c r="U38" i="98"/>
  <c r="U37" i="98"/>
  <c r="U24" i="98"/>
  <c r="U31" i="98"/>
  <c r="F57" i="98"/>
  <c r="F58" i="98"/>
  <c r="U3" i="98"/>
  <c r="V3" i="98" s="1"/>
  <c r="H65" i="98"/>
  <c r="R30" i="98"/>
  <c r="B31" i="98" s="1"/>
  <c r="H72" i="98"/>
  <c r="H88" i="98"/>
  <c r="C31" i="98"/>
  <c r="U8" i="98" s="1"/>
  <c r="V8" i="98" s="1"/>
  <c r="H68" i="98"/>
  <c r="H82" i="98"/>
  <c r="H98" i="98"/>
  <c r="H106" i="98"/>
  <c r="H71" i="98"/>
  <c r="H87" i="98"/>
  <c r="H105" i="98"/>
  <c r="H73" i="98"/>
  <c r="H89" i="98"/>
  <c r="H103" i="98"/>
  <c r="U28" i="98"/>
  <c r="U39" i="98"/>
  <c r="U20" i="98"/>
  <c r="U21" i="98"/>
  <c r="T46" i="98"/>
  <c r="T47" i="98"/>
  <c r="U26" i="98"/>
  <c r="U36" i="98"/>
  <c r="B38" i="97"/>
  <c r="X14" i="97" s="1"/>
  <c r="B23" i="97"/>
  <c r="H58" i="97"/>
  <c r="H57" i="97"/>
  <c r="U5" i="97"/>
  <c r="V5" i="97" s="1"/>
  <c r="U25" i="97"/>
  <c r="U14" i="97"/>
  <c r="G57" i="97"/>
  <c r="U7" i="97"/>
  <c r="V7" i="97" s="1"/>
  <c r="G58" i="97"/>
  <c r="I58" i="97"/>
  <c r="I57" i="97"/>
  <c r="U9" i="97"/>
  <c r="V9" i="97" s="1"/>
  <c r="J123" i="97"/>
  <c r="F58" i="97"/>
  <c r="F57" i="97"/>
  <c r="U3" i="97"/>
  <c r="V3" i="97" s="1"/>
  <c r="H111" i="97"/>
  <c r="H107" i="97"/>
  <c r="H103" i="97"/>
  <c r="H99" i="97"/>
  <c r="H97" i="97"/>
  <c r="H93" i="97"/>
  <c r="H89" i="97"/>
  <c r="H85" i="97"/>
  <c r="H81" i="97"/>
  <c r="H77" i="97"/>
  <c r="H73" i="97"/>
  <c r="H69" i="97"/>
  <c r="H113" i="97"/>
  <c r="H109" i="97"/>
  <c r="H105" i="97"/>
  <c r="H95" i="97"/>
  <c r="H91" i="97"/>
  <c r="H87" i="97"/>
  <c r="H83" i="97"/>
  <c r="H79" i="97"/>
  <c r="H75" i="97"/>
  <c r="H71" i="97"/>
  <c r="H64" i="97"/>
  <c r="H102" i="97"/>
  <c r="H96" i="97"/>
  <c r="H92" i="97"/>
  <c r="H88" i="97"/>
  <c r="H84" i="97"/>
  <c r="H80" i="97"/>
  <c r="H76" i="97"/>
  <c r="H72" i="97"/>
  <c r="H68" i="97"/>
  <c r="H67" i="97"/>
  <c r="H63" i="97"/>
  <c r="H112" i="97"/>
  <c r="H110" i="97"/>
  <c r="H108" i="97"/>
  <c r="H106" i="97"/>
  <c r="H104" i="97"/>
  <c r="H101" i="97"/>
  <c r="H98" i="97"/>
  <c r="H90" i="97"/>
  <c r="B29" i="97"/>
  <c r="B27" i="97"/>
  <c r="C31" i="97"/>
  <c r="U8" i="97" s="1"/>
  <c r="V8" i="97" s="1"/>
  <c r="R30" i="97"/>
  <c r="B31" i="97" s="1"/>
  <c r="H94" i="97"/>
  <c r="H86" i="97"/>
  <c r="H82" i="97"/>
  <c r="H78" i="97"/>
  <c r="H74" i="97"/>
  <c r="H70" i="97"/>
  <c r="H66" i="97"/>
  <c r="R29" i="97"/>
  <c r="B28" i="97"/>
  <c r="H100" i="97"/>
  <c r="H65" i="97"/>
  <c r="C32" i="97"/>
  <c r="U10" i="97" s="1"/>
  <c r="V10" i="97" s="1"/>
  <c r="R31" i="97"/>
  <c r="B32" i="97" s="1"/>
  <c r="R28" i="97"/>
  <c r="I123" i="96"/>
  <c r="F58" i="96"/>
  <c r="U3" i="96"/>
  <c r="V3" i="96" s="1"/>
  <c r="F57" i="96"/>
  <c r="T94" i="96"/>
  <c r="T95" i="96"/>
  <c r="W38" i="96"/>
  <c r="T46" i="96"/>
  <c r="T47" i="96"/>
  <c r="T61" i="96"/>
  <c r="W21" i="96"/>
  <c r="T60" i="96"/>
  <c r="T74" i="96"/>
  <c r="W28" i="96"/>
  <c r="T75" i="96"/>
  <c r="T63" i="96"/>
  <c r="W22" i="96"/>
  <c r="T62" i="96"/>
  <c r="T73" i="96"/>
  <c r="W27" i="96"/>
  <c r="T72" i="96"/>
  <c r="B28" i="96"/>
  <c r="H74" i="96"/>
  <c r="R31" i="96"/>
  <c r="B32" i="96" s="1"/>
  <c r="H86" i="96"/>
  <c r="H100" i="96"/>
  <c r="H108" i="96"/>
  <c r="C31" i="96"/>
  <c r="U8" i="96" s="1"/>
  <c r="V8" i="96" s="1"/>
  <c r="H69" i="96"/>
  <c r="H84" i="96"/>
  <c r="H71" i="96"/>
  <c r="H87" i="96"/>
  <c r="H105" i="96"/>
  <c r="H85" i="96"/>
  <c r="H99" i="96"/>
  <c r="I57" i="96"/>
  <c r="I58" i="96"/>
  <c r="U9" i="96"/>
  <c r="V9" i="96" s="1"/>
  <c r="G57" i="96"/>
  <c r="G58" i="96"/>
  <c r="U7" i="96"/>
  <c r="V7" i="96" s="1"/>
  <c r="T96" i="96"/>
  <c r="T97" i="96"/>
  <c r="W39" i="96"/>
  <c r="T53" i="96"/>
  <c r="W17" i="96"/>
  <c r="T52" i="96"/>
  <c r="T69" i="96"/>
  <c r="W25" i="96"/>
  <c r="T68" i="96"/>
  <c r="T77" i="96"/>
  <c r="T76" i="96"/>
  <c r="W29" i="96"/>
  <c r="T65" i="96"/>
  <c r="W23" i="96"/>
  <c r="T64" i="96"/>
  <c r="T78" i="96"/>
  <c r="T79" i="96"/>
  <c r="W30" i="96"/>
  <c r="J58" i="96"/>
  <c r="J57" i="96"/>
  <c r="U4" i="96"/>
  <c r="V4" i="96" s="1"/>
  <c r="K76" i="96"/>
  <c r="I76" i="96"/>
  <c r="J76" i="96"/>
  <c r="K65" i="96"/>
  <c r="I65" i="96"/>
  <c r="J65" i="96"/>
  <c r="K90" i="96"/>
  <c r="I90" i="96"/>
  <c r="J90" i="96"/>
  <c r="H102" i="96"/>
  <c r="H110" i="96"/>
  <c r="C32" i="96"/>
  <c r="U10" i="96" s="1"/>
  <c r="V10" i="96" s="1"/>
  <c r="H73" i="96"/>
  <c r="H88" i="96"/>
  <c r="H75" i="96"/>
  <c r="H91" i="96"/>
  <c r="H109" i="96"/>
  <c r="H89" i="96"/>
  <c r="H103" i="96"/>
  <c r="T88" i="96"/>
  <c r="T89" i="96"/>
  <c r="W35" i="96"/>
  <c r="T49" i="96"/>
  <c r="T48" i="96"/>
  <c r="W15" i="96"/>
  <c r="V15" i="96"/>
  <c r="X15" i="96" s="1"/>
  <c r="V16" i="96" a="1"/>
  <c r="W18" i="96"/>
  <c r="T54" i="96"/>
  <c r="T55" i="96"/>
  <c r="T84" i="96"/>
  <c r="T85" i="96"/>
  <c r="W33" i="96"/>
  <c r="T82" i="96"/>
  <c r="T83" i="96"/>
  <c r="W32" i="96"/>
  <c r="T67" i="96"/>
  <c r="T66" i="96"/>
  <c r="W24" i="96"/>
  <c r="T80" i="96"/>
  <c r="T81" i="96"/>
  <c r="W31" i="96"/>
  <c r="H63" i="96"/>
  <c r="H70" i="96"/>
  <c r="H78" i="96"/>
  <c r="H66" i="96"/>
  <c r="H94" i="96"/>
  <c r="H104" i="96"/>
  <c r="H112" i="96"/>
  <c r="H64" i="96"/>
  <c r="H77" i="96"/>
  <c r="H92" i="96"/>
  <c r="H79" i="96"/>
  <c r="H95" i="96"/>
  <c r="H113" i="96"/>
  <c r="H93" i="96"/>
  <c r="H107" i="96"/>
  <c r="H58" i="96"/>
  <c r="H57" i="96"/>
  <c r="U5" i="96"/>
  <c r="V5" i="96" s="1"/>
  <c r="T90" i="96"/>
  <c r="W36" i="96"/>
  <c r="T91" i="96"/>
  <c r="T86" i="96"/>
  <c r="T87" i="96"/>
  <c r="W34" i="96"/>
  <c r="W19" i="96"/>
  <c r="T57" i="96"/>
  <c r="T56" i="96"/>
  <c r="T51" i="96"/>
  <c r="W16" i="96"/>
  <c r="T50" i="96"/>
  <c r="T59" i="96"/>
  <c r="T58" i="96"/>
  <c r="W20" i="96"/>
  <c r="T70" i="96"/>
  <c r="T71" i="96"/>
  <c r="W26" i="96"/>
  <c r="T92" i="96"/>
  <c r="T93" i="96"/>
  <c r="W37" i="96"/>
  <c r="H67" i="96"/>
  <c r="H72" i="96"/>
  <c r="R28" i="96"/>
  <c r="H82" i="96"/>
  <c r="H98" i="96"/>
  <c r="H106" i="96"/>
  <c r="R29" i="96"/>
  <c r="H68" i="96"/>
  <c r="H80" i="96"/>
  <c r="H96" i="96"/>
  <c r="H83" i="96"/>
  <c r="H101" i="96"/>
  <c r="H81" i="96"/>
  <c r="H97" i="96"/>
  <c r="H111" i="96"/>
  <c r="I123" i="95"/>
  <c r="U21" i="95"/>
  <c r="U25" i="95"/>
  <c r="U22" i="95"/>
  <c r="U23" i="95"/>
  <c r="U35" i="95"/>
  <c r="U27" i="95"/>
  <c r="R30" i="95"/>
  <c r="B31" i="95" s="1"/>
  <c r="R28" i="95"/>
  <c r="H82" i="95"/>
  <c r="H70" i="95"/>
  <c r="H79" i="95"/>
  <c r="H94" i="95"/>
  <c r="H96" i="95"/>
  <c r="C31" i="95"/>
  <c r="U8" i="95" s="1"/>
  <c r="V8" i="95" s="1"/>
  <c r="H68" i="95"/>
  <c r="H84" i="95"/>
  <c r="H106" i="95"/>
  <c r="H101" i="95"/>
  <c r="H69" i="95"/>
  <c r="H85" i="95"/>
  <c r="H99" i="95"/>
  <c r="G57" i="95"/>
  <c r="G58" i="95"/>
  <c r="U7" i="95"/>
  <c r="V7" i="95" s="1"/>
  <c r="I58" i="95"/>
  <c r="I57" i="95"/>
  <c r="U9" i="95"/>
  <c r="V9" i="95" s="1"/>
  <c r="U32" i="95"/>
  <c r="U34" i="95"/>
  <c r="U28" i="95"/>
  <c r="U24" i="95"/>
  <c r="U39" i="95"/>
  <c r="U30" i="95"/>
  <c r="R31" i="95"/>
  <c r="B32" i="95" s="1"/>
  <c r="B28" i="95"/>
  <c r="H64" i="95"/>
  <c r="H83" i="95"/>
  <c r="H104" i="95"/>
  <c r="H100" i="95"/>
  <c r="C32" i="95"/>
  <c r="U10" i="95" s="1"/>
  <c r="V10" i="95" s="1"/>
  <c r="H72" i="95"/>
  <c r="H88" i="95"/>
  <c r="H110" i="95"/>
  <c r="H105" i="95"/>
  <c r="H73" i="95"/>
  <c r="H89" i="95"/>
  <c r="H103" i="95"/>
  <c r="J123" i="95"/>
  <c r="H58" i="95"/>
  <c r="U5" i="95"/>
  <c r="V5" i="95" s="1"/>
  <c r="H57" i="95"/>
  <c r="B23" i="95"/>
  <c r="F57" i="95"/>
  <c r="F58" i="95"/>
  <c r="U3" i="95"/>
  <c r="V3" i="95" s="1"/>
  <c r="U16" i="95"/>
  <c r="U38" i="95"/>
  <c r="U15" i="95"/>
  <c r="T46" i="95"/>
  <c r="T47" i="95"/>
  <c r="U26" i="95"/>
  <c r="U29" i="95"/>
  <c r="U31" i="95"/>
  <c r="H78" i="95"/>
  <c r="H65" i="95"/>
  <c r="H71" i="95"/>
  <c r="H87" i="95"/>
  <c r="H112" i="95"/>
  <c r="H108" i="95"/>
  <c r="H63" i="95"/>
  <c r="H76" i="95"/>
  <c r="H98" i="95"/>
  <c r="H91" i="95"/>
  <c r="H109" i="95"/>
  <c r="H77" i="95"/>
  <c r="H93" i="95"/>
  <c r="H107" i="95"/>
  <c r="J122" i="95"/>
  <c r="U18" i="95"/>
  <c r="U19" i="95"/>
  <c r="U20" i="95"/>
  <c r="U17" i="95"/>
  <c r="U33" i="95"/>
  <c r="U37" i="95"/>
  <c r="U36" i="95"/>
  <c r="H86" i="95"/>
  <c r="H74" i="95"/>
  <c r="H66" i="95"/>
  <c r="H75" i="95"/>
  <c r="H90" i="95"/>
  <c r="H92" i="95"/>
  <c r="R29" i="95"/>
  <c r="H67" i="95"/>
  <c r="H80" i="95"/>
  <c r="H102" i="95"/>
  <c r="H95" i="95"/>
  <c r="H113" i="95"/>
  <c r="H81" i="95"/>
  <c r="H97" i="95"/>
  <c r="H111" i="95"/>
  <c r="U23" i="93"/>
  <c r="U32" i="93"/>
  <c r="U37" i="93"/>
  <c r="W38" i="93" s="1"/>
  <c r="U15" i="93"/>
  <c r="U31" i="93"/>
  <c r="U28" i="93"/>
  <c r="H111" i="93"/>
  <c r="H107" i="93"/>
  <c r="H103" i="93"/>
  <c r="H99" i="93"/>
  <c r="H97" i="93"/>
  <c r="H93" i="93"/>
  <c r="H89" i="93"/>
  <c r="H85" i="93"/>
  <c r="H81" i="93"/>
  <c r="H113" i="93"/>
  <c r="H109" i="93"/>
  <c r="H105" i="93"/>
  <c r="H101" i="93"/>
  <c r="H95" i="93"/>
  <c r="H91" i="93"/>
  <c r="H87" i="93"/>
  <c r="H83" i="93"/>
  <c r="H79" i="93"/>
  <c r="H75" i="93"/>
  <c r="H71" i="93"/>
  <c r="H96" i="93"/>
  <c r="H92" i="93"/>
  <c r="H88" i="93"/>
  <c r="H84" i="93"/>
  <c r="H66" i="93"/>
  <c r="R31" i="93"/>
  <c r="B32" i="93" s="1"/>
  <c r="R30" i="93"/>
  <c r="B31" i="93" s="1"/>
  <c r="B28" i="93"/>
  <c r="B27" i="93"/>
  <c r="H80" i="93"/>
  <c r="H76" i="93"/>
  <c r="H72" i="93"/>
  <c r="H65" i="93"/>
  <c r="H112" i="93"/>
  <c r="H110" i="93"/>
  <c r="H108" i="93"/>
  <c r="H106" i="93"/>
  <c r="H104" i="93"/>
  <c r="H102" i="93"/>
  <c r="H100" i="93"/>
  <c r="H98" i="93"/>
  <c r="H94" i="93"/>
  <c r="H90" i="93"/>
  <c r="H86" i="93"/>
  <c r="H82" i="93"/>
  <c r="H77" i="93"/>
  <c r="H73" i="93"/>
  <c r="H78" i="93"/>
  <c r="H74" i="93"/>
  <c r="H70" i="93"/>
  <c r="H67" i="93"/>
  <c r="H63" i="93"/>
  <c r="C32" i="93"/>
  <c r="U10" i="93" s="1"/>
  <c r="V10" i="93" s="1"/>
  <c r="C31" i="93"/>
  <c r="U8" i="93" s="1"/>
  <c r="V8" i="93" s="1"/>
  <c r="H68" i="93"/>
  <c r="H64" i="93"/>
  <c r="R29" i="93"/>
  <c r="H69" i="93"/>
  <c r="R28" i="93"/>
  <c r="B29" i="93"/>
  <c r="U24" i="93"/>
  <c r="U16" i="93"/>
  <c r="U19" i="93"/>
  <c r="U20" i="93"/>
  <c r="U36" i="93"/>
  <c r="U33" i="93"/>
  <c r="W34" i="93" s="1"/>
  <c r="T47" i="93"/>
  <c r="T46" i="93"/>
  <c r="T72" i="93"/>
  <c r="T73" i="93"/>
  <c r="T55" i="93"/>
  <c r="T54" i="93"/>
  <c r="T68" i="93"/>
  <c r="T69" i="93"/>
  <c r="T62" i="93"/>
  <c r="T63" i="93"/>
  <c r="T94" i="93"/>
  <c r="T95" i="93"/>
  <c r="T86" i="93"/>
  <c r="T87" i="93"/>
  <c r="G58" i="93"/>
  <c r="G57" i="93"/>
  <c r="U7" i="93"/>
  <c r="V7" i="93" s="1"/>
  <c r="H58" i="93"/>
  <c r="H57" i="93"/>
  <c r="B23" i="93"/>
  <c r="U5" i="93"/>
  <c r="V5" i="93" s="1"/>
  <c r="U17" i="93"/>
  <c r="U30" i="93"/>
  <c r="U21" i="93"/>
  <c r="U26" i="93"/>
  <c r="U29" i="93"/>
  <c r="U39" i="93"/>
  <c r="U35" i="93"/>
  <c r="T63" i="92"/>
  <c r="T62" i="92"/>
  <c r="W22" i="92"/>
  <c r="T94" i="92"/>
  <c r="T95" i="92"/>
  <c r="W38" i="92"/>
  <c r="T64" i="92"/>
  <c r="W23" i="92"/>
  <c r="T65" i="92"/>
  <c r="T80" i="92"/>
  <c r="T81" i="92"/>
  <c r="W31" i="92"/>
  <c r="T61" i="92"/>
  <c r="W21" i="92"/>
  <c r="T60" i="92"/>
  <c r="T68" i="92"/>
  <c r="T69" i="92"/>
  <c r="W25" i="92"/>
  <c r="H111" i="92"/>
  <c r="H107" i="92"/>
  <c r="H103" i="92"/>
  <c r="H99" i="92"/>
  <c r="H97" i="92"/>
  <c r="H93" i="92"/>
  <c r="H89" i="92"/>
  <c r="H85" i="92"/>
  <c r="H81" i="92"/>
  <c r="H113" i="92"/>
  <c r="H109" i="92"/>
  <c r="H105" i="92"/>
  <c r="H101" i="92"/>
  <c r="H95" i="92"/>
  <c r="H91" i="92"/>
  <c r="H87" i="92"/>
  <c r="H83" i="92"/>
  <c r="H79" i="92"/>
  <c r="H75" i="92"/>
  <c r="H71" i="92"/>
  <c r="H96" i="92"/>
  <c r="H92" i="92"/>
  <c r="H88" i="92"/>
  <c r="H84" i="92"/>
  <c r="H80" i="92"/>
  <c r="H76" i="92"/>
  <c r="H72" i="92"/>
  <c r="H65" i="92"/>
  <c r="H77" i="92"/>
  <c r="H73" i="92"/>
  <c r="H69" i="92"/>
  <c r="H68" i="92"/>
  <c r="H64" i="92"/>
  <c r="H112" i="92"/>
  <c r="H110" i="92"/>
  <c r="H108" i="92"/>
  <c r="H106" i="92"/>
  <c r="H104" i="92"/>
  <c r="H102" i="92"/>
  <c r="H100" i="92"/>
  <c r="H98" i="92"/>
  <c r="H94" i="92"/>
  <c r="H90" i="92"/>
  <c r="H86" i="92"/>
  <c r="H82" i="92"/>
  <c r="H66" i="92"/>
  <c r="B29" i="92"/>
  <c r="R28" i="92"/>
  <c r="H63" i="92"/>
  <c r="C31" i="92"/>
  <c r="U8" i="92" s="1"/>
  <c r="V8" i="92" s="1"/>
  <c r="R30" i="92"/>
  <c r="B31" i="92" s="1"/>
  <c r="H78" i="92"/>
  <c r="H74" i="92"/>
  <c r="H70" i="92"/>
  <c r="R29" i="92"/>
  <c r="H67" i="92"/>
  <c r="C32" i="92"/>
  <c r="U10" i="92" s="1"/>
  <c r="V10" i="92" s="1"/>
  <c r="R31" i="92"/>
  <c r="B32" i="92" s="1"/>
  <c r="B28" i="92"/>
  <c r="B27" i="92"/>
  <c r="T74" i="92"/>
  <c r="T75" i="92"/>
  <c r="W28" i="92"/>
  <c r="T96" i="92"/>
  <c r="T97" i="92"/>
  <c r="W39" i="92"/>
  <c r="T67" i="92"/>
  <c r="T66" i="92"/>
  <c r="W24" i="92"/>
  <c r="T86" i="92"/>
  <c r="W34" i="92"/>
  <c r="T87" i="92"/>
  <c r="T82" i="92"/>
  <c r="W32" i="92"/>
  <c r="T83" i="92"/>
  <c r="T78" i="92"/>
  <c r="W30" i="92"/>
  <c r="T79" i="92"/>
  <c r="G57" i="92"/>
  <c r="U7" i="92"/>
  <c r="V7" i="92" s="1"/>
  <c r="G58" i="92"/>
  <c r="T49" i="92"/>
  <c r="T48" i="92"/>
  <c r="V16" i="92" a="1"/>
  <c r="W15" i="92"/>
  <c r="V15" i="92"/>
  <c r="X15" i="92" s="1"/>
  <c r="T88" i="92"/>
  <c r="T89" i="92"/>
  <c r="W35" i="92"/>
  <c r="T46" i="92"/>
  <c r="T47" i="92"/>
  <c r="T70" i="92"/>
  <c r="T71" i="92"/>
  <c r="W26" i="92"/>
  <c r="T51" i="92"/>
  <c r="W16" i="92"/>
  <c r="T50" i="92"/>
  <c r="T84" i="92"/>
  <c r="T85" i="92"/>
  <c r="W33" i="92"/>
  <c r="T76" i="92"/>
  <c r="T77" i="92"/>
  <c r="W29" i="92"/>
  <c r="F58" i="92"/>
  <c r="U3" i="92"/>
  <c r="V3" i="92" s="1"/>
  <c r="F57" i="92"/>
  <c r="I57" i="92"/>
  <c r="I58" i="92"/>
  <c r="U9" i="92"/>
  <c r="V9" i="92" s="1"/>
  <c r="T59" i="92"/>
  <c r="T58" i="92"/>
  <c r="W20" i="92"/>
  <c r="T90" i="92"/>
  <c r="W36" i="92"/>
  <c r="T91" i="92"/>
  <c r="T53" i="92"/>
  <c r="W17" i="92"/>
  <c r="T52" i="92"/>
  <c r="T72" i="92"/>
  <c r="T73" i="92"/>
  <c r="W27" i="92"/>
  <c r="W18" i="92"/>
  <c r="T54" i="92"/>
  <c r="T55" i="92"/>
  <c r="T56" i="92"/>
  <c r="T57" i="92"/>
  <c r="W19" i="92"/>
  <c r="T92" i="92"/>
  <c r="T93" i="92"/>
  <c r="W37" i="92"/>
  <c r="I123" i="91"/>
  <c r="B13" i="91"/>
  <c r="J123" i="91"/>
  <c r="H58" i="91"/>
  <c r="B23" i="91"/>
  <c r="H57" i="91"/>
  <c r="U5" i="91"/>
  <c r="V5" i="91" s="1"/>
  <c r="H77" i="91"/>
  <c r="H68" i="91"/>
  <c r="H82" i="91"/>
  <c r="H67" i="91"/>
  <c r="H86" i="91"/>
  <c r="H100" i="91"/>
  <c r="H108" i="91"/>
  <c r="H72" i="91"/>
  <c r="H66" i="91"/>
  <c r="H92" i="91"/>
  <c r="H79" i="91"/>
  <c r="H95" i="91"/>
  <c r="H113" i="91"/>
  <c r="H93" i="91"/>
  <c r="H107" i="91"/>
  <c r="U18" i="91"/>
  <c r="U38" i="91"/>
  <c r="U31" i="91"/>
  <c r="U27" i="91"/>
  <c r="U28" i="91"/>
  <c r="U32" i="91"/>
  <c r="G58" i="91"/>
  <c r="G57" i="91"/>
  <c r="U7" i="91"/>
  <c r="V7" i="91" s="1"/>
  <c r="F57" i="91"/>
  <c r="F58" i="91"/>
  <c r="U3" i="91"/>
  <c r="V3" i="91" s="1"/>
  <c r="I57" i="91"/>
  <c r="I58" i="91"/>
  <c r="U9" i="91"/>
  <c r="V9" i="91" s="1"/>
  <c r="H73" i="91"/>
  <c r="R30" i="91"/>
  <c r="B31" i="91" s="1"/>
  <c r="H70" i="91"/>
  <c r="H90" i="91"/>
  <c r="H102" i="91"/>
  <c r="H110" i="91"/>
  <c r="H76" i="91"/>
  <c r="H80" i="91"/>
  <c r="H96" i="91"/>
  <c r="H83" i="91"/>
  <c r="H101" i="91"/>
  <c r="H81" i="91"/>
  <c r="H97" i="91"/>
  <c r="H111" i="91"/>
  <c r="U20" i="91"/>
  <c r="U16" i="91"/>
  <c r="U37" i="91"/>
  <c r="U39" i="91"/>
  <c r="U36" i="91"/>
  <c r="U33" i="91"/>
  <c r="B28" i="91"/>
  <c r="C31" i="91"/>
  <c r="U8" i="91" s="1"/>
  <c r="V8" i="91" s="1"/>
  <c r="R29" i="91"/>
  <c r="R31" i="91"/>
  <c r="B32" i="91" s="1"/>
  <c r="B33" i="91" s="1"/>
  <c r="H74" i="91"/>
  <c r="H94" i="91"/>
  <c r="H104" i="91"/>
  <c r="H112" i="91"/>
  <c r="R28" i="91"/>
  <c r="H84" i="91"/>
  <c r="H71" i="91"/>
  <c r="H87" i="91"/>
  <c r="H105" i="91"/>
  <c r="H85" i="91"/>
  <c r="H99" i="91"/>
  <c r="T47" i="91"/>
  <c r="T46" i="91"/>
  <c r="U29" i="91"/>
  <c r="U21" i="91"/>
  <c r="U22" i="91"/>
  <c r="U15" i="91"/>
  <c r="U19" i="91"/>
  <c r="U34" i="91"/>
  <c r="J122" i="91"/>
  <c r="H69" i="91"/>
  <c r="H64" i="91"/>
  <c r="C32" i="91"/>
  <c r="U10" i="91" s="1"/>
  <c r="V10" i="91" s="1"/>
  <c r="H63" i="91"/>
  <c r="H78" i="91"/>
  <c r="H98" i="91"/>
  <c r="H106" i="91"/>
  <c r="H65" i="91"/>
  <c r="H88" i="91"/>
  <c r="H75" i="91"/>
  <c r="H91" i="91"/>
  <c r="H109" i="91"/>
  <c r="H89" i="91"/>
  <c r="H103" i="91"/>
  <c r="U17" i="91"/>
  <c r="U30" i="91"/>
  <c r="U24" i="91"/>
  <c r="U23" i="91"/>
  <c r="U26" i="91"/>
  <c r="U25" i="91"/>
  <c r="U35" i="91"/>
  <c r="U36" i="90"/>
  <c r="T90" i="90" s="1"/>
  <c r="U30" i="90"/>
  <c r="T78" i="90" s="1"/>
  <c r="U24" i="90"/>
  <c r="T67" i="90" s="1"/>
  <c r="U20" i="90"/>
  <c r="W20" i="90" s="1"/>
  <c r="U15" i="90"/>
  <c r="W16" i="90" s="1"/>
  <c r="U39" i="90"/>
  <c r="T96" i="90" s="1"/>
  <c r="J122" i="90"/>
  <c r="I123" i="90"/>
  <c r="I122" i="90"/>
  <c r="U35" i="90"/>
  <c r="T47" i="90"/>
  <c r="U17" i="90"/>
  <c r="W18" i="90" s="1"/>
  <c r="B13" i="90"/>
  <c r="I58" i="90"/>
  <c r="U9" i="90"/>
  <c r="V9" i="90" s="1"/>
  <c r="H57" i="90"/>
  <c r="B23" i="90"/>
  <c r="U5" i="90"/>
  <c r="V5" i="90" s="1"/>
  <c r="F57" i="90"/>
  <c r="F58" i="90"/>
  <c r="U3" i="90"/>
  <c r="V3" i="90" s="1"/>
  <c r="T68" i="90"/>
  <c r="T69" i="90"/>
  <c r="T50" i="90"/>
  <c r="T51" i="90"/>
  <c r="T82" i="90"/>
  <c r="W32" i="90"/>
  <c r="T83" i="90"/>
  <c r="T72" i="90"/>
  <c r="T73" i="90"/>
  <c r="W27" i="90"/>
  <c r="T62" i="90"/>
  <c r="T63" i="90"/>
  <c r="W22" i="90"/>
  <c r="T92" i="90"/>
  <c r="T93" i="90"/>
  <c r="W37" i="90"/>
  <c r="T56" i="90"/>
  <c r="T57" i="90"/>
  <c r="W19" i="90"/>
  <c r="T60" i="90"/>
  <c r="T61" i="90"/>
  <c r="T80" i="90"/>
  <c r="T81" i="90"/>
  <c r="W31" i="90"/>
  <c r="T70" i="90"/>
  <c r="W26" i="90"/>
  <c r="T71" i="90"/>
  <c r="G58" i="90"/>
  <c r="U7" i="90"/>
  <c r="V7" i="90" s="1"/>
  <c r="G57" i="90"/>
  <c r="T95" i="90"/>
  <c r="W38" i="90"/>
  <c r="T94" i="90"/>
  <c r="T84" i="90"/>
  <c r="T85" i="90"/>
  <c r="W33" i="90"/>
  <c r="T54" i="90"/>
  <c r="T55" i="90"/>
  <c r="W30" i="90"/>
  <c r="T79" i="90"/>
  <c r="T59" i="90"/>
  <c r="T97" i="90"/>
  <c r="W39" i="90"/>
  <c r="W34" i="90"/>
  <c r="H111" i="90"/>
  <c r="H107" i="90"/>
  <c r="H103" i="90"/>
  <c r="H99" i="90"/>
  <c r="H97" i="90"/>
  <c r="H93" i="90"/>
  <c r="H89" i="90"/>
  <c r="H85" i="90"/>
  <c r="H81" i="90"/>
  <c r="H77" i="90"/>
  <c r="H73" i="90"/>
  <c r="H69" i="90"/>
  <c r="H113" i="90"/>
  <c r="H109" i="90"/>
  <c r="H105" i="90"/>
  <c r="H101" i="90"/>
  <c r="H110" i="90"/>
  <c r="H106" i="90"/>
  <c r="H102" i="90"/>
  <c r="H98" i="90"/>
  <c r="H94" i="90"/>
  <c r="H90" i="90"/>
  <c r="H95" i="90"/>
  <c r="H91" i="90"/>
  <c r="H66" i="90"/>
  <c r="H108" i="90"/>
  <c r="H100" i="90"/>
  <c r="H86" i="90"/>
  <c r="H82" i="90"/>
  <c r="H78" i="90"/>
  <c r="H74" i="90"/>
  <c r="H70" i="90"/>
  <c r="H65" i="90"/>
  <c r="H112" i="90"/>
  <c r="H104" i="90"/>
  <c r="H96" i="90"/>
  <c r="H92" i="90"/>
  <c r="H88" i="90"/>
  <c r="H84" i="90"/>
  <c r="H80" i="90"/>
  <c r="H76" i="90"/>
  <c r="H72" i="90"/>
  <c r="H68" i="90"/>
  <c r="H67" i="90"/>
  <c r="H63" i="90"/>
  <c r="R31" i="90"/>
  <c r="B32" i="90" s="1"/>
  <c r="B33" i="90" s="1"/>
  <c r="R30" i="90"/>
  <c r="B31" i="90" s="1"/>
  <c r="R29" i="90"/>
  <c r="B28" i="90"/>
  <c r="B27" i="90"/>
  <c r="H87" i="90"/>
  <c r="H79" i="90"/>
  <c r="H71" i="90"/>
  <c r="C32" i="90"/>
  <c r="U10" i="90" s="1"/>
  <c r="V10" i="90" s="1"/>
  <c r="C31" i="90"/>
  <c r="U8" i="90" s="1"/>
  <c r="V8" i="90" s="1"/>
  <c r="R28" i="90"/>
  <c r="H64" i="90"/>
  <c r="B29" i="90"/>
  <c r="H83" i="90"/>
  <c r="H75" i="90"/>
  <c r="W17" i="90"/>
  <c r="T76" i="90"/>
  <c r="T77" i="90"/>
  <c r="W29" i="90"/>
  <c r="T65" i="90"/>
  <c r="T64" i="90"/>
  <c r="W23" i="90"/>
  <c r="T74" i="90"/>
  <c r="W28" i="90"/>
  <c r="T75" i="90"/>
  <c r="I123" i="89"/>
  <c r="H58" i="89"/>
  <c r="U5" i="89"/>
  <c r="V5" i="89" s="1"/>
  <c r="H57" i="89"/>
  <c r="H111" i="89"/>
  <c r="H107" i="89"/>
  <c r="H103" i="89"/>
  <c r="H99" i="89"/>
  <c r="H97" i="89"/>
  <c r="H93" i="89"/>
  <c r="H89" i="89"/>
  <c r="H85" i="89"/>
  <c r="H81" i="89"/>
  <c r="H77" i="89"/>
  <c r="H73" i="89"/>
  <c r="H69" i="89"/>
  <c r="H113" i="89"/>
  <c r="H109" i="89"/>
  <c r="H104" i="89"/>
  <c r="H102" i="89"/>
  <c r="H96" i="89"/>
  <c r="H92" i="89"/>
  <c r="H88" i="89"/>
  <c r="H84" i="89"/>
  <c r="H80" i="89"/>
  <c r="H76" i="89"/>
  <c r="H72" i="89"/>
  <c r="H68" i="89"/>
  <c r="H67" i="89"/>
  <c r="H63" i="89"/>
  <c r="H101" i="89"/>
  <c r="H66" i="89"/>
  <c r="H112" i="89"/>
  <c r="H110" i="89"/>
  <c r="H108" i="89"/>
  <c r="H106" i="89"/>
  <c r="H100" i="89"/>
  <c r="H98" i="89"/>
  <c r="H94" i="89"/>
  <c r="H90" i="89"/>
  <c r="H86" i="89"/>
  <c r="H82" i="89"/>
  <c r="H78" i="89"/>
  <c r="H74" i="89"/>
  <c r="H70" i="89"/>
  <c r="H105" i="89"/>
  <c r="H91" i="89"/>
  <c r="H83" i="89"/>
  <c r="H75" i="89"/>
  <c r="C32" i="89"/>
  <c r="U10" i="89" s="1"/>
  <c r="V10" i="89" s="1"/>
  <c r="C31" i="89"/>
  <c r="U8" i="89" s="1"/>
  <c r="V8" i="89" s="1"/>
  <c r="R29" i="89"/>
  <c r="H65" i="89"/>
  <c r="R31" i="89"/>
  <c r="B32" i="89" s="1"/>
  <c r="R30" i="89"/>
  <c r="B31" i="89" s="1"/>
  <c r="B28" i="89"/>
  <c r="B27" i="89"/>
  <c r="H95" i="89"/>
  <c r="H87" i="89"/>
  <c r="H79" i="89"/>
  <c r="H71" i="89"/>
  <c r="H64" i="89"/>
  <c r="B29" i="89"/>
  <c r="R28" i="89"/>
  <c r="U21" i="89"/>
  <c r="U34" i="89"/>
  <c r="U36" i="89"/>
  <c r="U22" i="89"/>
  <c r="U27" i="89"/>
  <c r="T47" i="89"/>
  <c r="T46" i="89"/>
  <c r="F57" i="89"/>
  <c r="F58" i="89"/>
  <c r="U3" i="89"/>
  <c r="V3" i="89" s="1"/>
  <c r="U25" i="89"/>
  <c r="U35" i="89"/>
  <c r="U38" i="89"/>
  <c r="U23" i="89"/>
  <c r="U30" i="89"/>
  <c r="U17" i="89"/>
  <c r="J123" i="89"/>
  <c r="T50" i="89"/>
  <c r="T51" i="89"/>
  <c r="W16" i="89"/>
  <c r="T82" i="89"/>
  <c r="W32" i="89"/>
  <c r="T83" i="89"/>
  <c r="T57" i="89"/>
  <c r="T56" i="89"/>
  <c r="T48" i="89"/>
  <c r="T49" i="89"/>
  <c r="W15" i="89"/>
  <c r="T66" i="89"/>
  <c r="W24" i="89"/>
  <c r="T67" i="89"/>
  <c r="T80" i="89"/>
  <c r="T81" i="89"/>
  <c r="W31" i="89"/>
  <c r="T76" i="89"/>
  <c r="T77" i="89"/>
  <c r="G58" i="89"/>
  <c r="U7" i="89"/>
  <c r="V7" i="89" s="1"/>
  <c r="G57" i="89"/>
  <c r="U18" i="89"/>
  <c r="U33" i="89"/>
  <c r="U28" i="89"/>
  <c r="W29" i="89" s="1"/>
  <c r="U20" i="89"/>
  <c r="U26" i="89"/>
  <c r="U37" i="89"/>
  <c r="U39" i="89"/>
  <c r="U28" i="88"/>
  <c r="U20" i="88"/>
  <c r="U26" i="88"/>
  <c r="W27" i="88" s="1"/>
  <c r="T47" i="88"/>
  <c r="T46" i="88"/>
  <c r="U37" i="88"/>
  <c r="U21" i="88"/>
  <c r="W22" i="88" s="1"/>
  <c r="U39" i="88"/>
  <c r="I58" i="88"/>
  <c r="I57" i="88"/>
  <c r="U9" i="88"/>
  <c r="V9" i="88" s="1"/>
  <c r="H111" i="88"/>
  <c r="H107" i="88"/>
  <c r="H103" i="88"/>
  <c r="H99" i="88"/>
  <c r="H97" i="88"/>
  <c r="H93" i="88"/>
  <c r="H89" i="88"/>
  <c r="H85" i="88"/>
  <c r="H81" i="88"/>
  <c r="H77" i="88"/>
  <c r="H73" i="88"/>
  <c r="H69" i="88"/>
  <c r="H113" i="88"/>
  <c r="H109" i="88"/>
  <c r="H105" i="88"/>
  <c r="H101" i="88"/>
  <c r="H112" i="88"/>
  <c r="H110" i="88"/>
  <c r="H108" i="88"/>
  <c r="H106" i="88"/>
  <c r="H104" i="88"/>
  <c r="H102" i="88"/>
  <c r="H100" i="88"/>
  <c r="H98" i="88"/>
  <c r="H94" i="88"/>
  <c r="H90" i="88"/>
  <c r="H86" i="88"/>
  <c r="H82" i="88"/>
  <c r="H78" i="88"/>
  <c r="H74" i="88"/>
  <c r="H70" i="88"/>
  <c r="H65" i="88"/>
  <c r="H95" i="88"/>
  <c r="H91" i="88"/>
  <c r="H87" i="88"/>
  <c r="H83" i="88"/>
  <c r="H79" i="88"/>
  <c r="H75" i="88"/>
  <c r="H71" i="88"/>
  <c r="H96" i="88"/>
  <c r="H92" i="88"/>
  <c r="H88" i="88"/>
  <c r="H84" i="88"/>
  <c r="H80" i="88"/>
  <c r="H76" i="88"/>
  <c r="H72" i="88"/>
  <c r="H68" i="88"/>
  <c r="H67" i="88"/>
  <c r="H63" i="88"/>
  <c r="R31" i="88"/>
  <c r="B32" i="88" s="1"/>
  <c r="C32" i="88"/>
  <c r="U10" i="88" s="1"/>
  <c r="V10" i="88" s="1"/>
  <c r="B29" i="88"/>
  <c r="R28" i="88"/>
  <c r="H64" i="88"/>
  <c r="C31" i="88"/>
  <c r="U8" i="88" s="1"/>
  <c r="V8" i="88" s="1"/>
  <c r="R29" i="88"/>
  <c r="H66" i="88"/>
  <c r="R30" i="88"/>
  <c r="B31" i="88" s="1"/>
  <c r="B28" i="88"/>
  <c r="B27" i="88"/>
  <c r="T80" i="88"/>
  <c r="T81" i="88"/>
  <c r="T62" i="88"/>
  <c r="T63" i="88"/>
  <c r="T72" i="88"/>
  <c r="T73" i="88"/>
  <c r="U17" i="88"/>
  <c r="U38" i="88"/>
  <c r="U25" i="88"/>
  <c r="J122" i="88"/>
  <c r="G58" i="88"/>
  <c r="G57" i="88"/>
  <c r="U7" i="88"/>
  <c r="V7" i="88" s="1"/>
  <c r="I122" i="88"/>
  <c r="I123" i="88"/>
  <c r="F57" i="88"/>
  <c r="F58" i="88"/>
  <c r="U3" i="88"/>
  <c r="V3" i="88" s="1"/>
  <c r="U33" i="88"/>
  <c r="U23" i="88"/>
  <c r="U30" i="88"/>
  <c r="W31" i="88" s="1"/>
  <c r="U29" i="88"/>
  <c r="U16" i="88"/>
  <c r="U34" i="88"/>
  <c r="J123" i="88"/>
  <c r="U19" i="88"/>
  <c r="U15" i="88"/>
  <c r="U24" i="88"/>
  <c r="U32" i="88"/>
  <c r="U35" i="88"/>
  <c r="U18" i="88"/>
  <c r="U36" i="88"/>
  <c r="U39" i="87"/>
  <c r="W39" i="87" s="1"/>
  <c r="J123" i="87"/>
  <c r="H58" i="87"/>
  <c r="U5" i="87"/>
  <c r="V5" i="87" s="1"/>
  <c r="I123" i="87"/>
  <c r="I57" i="87"/>
  <c r="I58" i="87"/>
  <c r="U9" i="87"/>
  <c r="V9" i="87" s="1"/>
  <c r="U22" i="87"/>
  <c r="W23" i="87" s="1"/>
  <c r="U27" i="87"/>
  <c r="T47" i="87"/>
  <c r="T46" i="87"/>
  <c r="U18" i="87"/>
  <c r="U19" i="87"/>
  <c r="W20" i="87" s="1"/>
  <c r="U32" i="87"/>
  <c r="T64" i="87"/>
  <c r="T65" i="87"/>
  <c r="T90" i="87"/>
  <c r="T91" i="87"/>
  <c r="W36" i="87"/>
  <c r="T52" i="87"/>
  <c r="W17" i="87"/>
  <c r="T53" i="87"/>
  <c r="T60" i="87"/>
  <c r="T61" i="87"/>
  <c r="W21" i="87"/>
  <c r="T74" i="87"/>
  <c r="T75" i="87"/>
  <c r="W28" i="87"/>
  <c r="U33" i="87"/>
  <c r="H111" i="87"/>
  <c r="H107" i="87"/>
  <c r="H103" i="87"/>
  <c r="H99" i="87"/>
  <c r="H97" i="87"/>
  <c r="H93" i="87"/>
  <c r="H89" i="87"/>
  <c r="H85" i="87"/>
  <c r="H81" i="87"/>
  <c r="H77" i="87"/>
  <c r="H73" i="87"/>
  <c r="H69" i="87"/>
  <c r="H113" i="87"/>
  <c r="H109" i="87"/>
  <c r="H105" i="87"/>
  <c r="H101" i="87"/>
  <c r="H110" i="87"/>
  <c r="H106" i="87"/>
  <c r="H102" i="87"/>
  <c r="H98" i="87"/>
  <c r="H94" i="87"/>
  <c r="H90" i="87"/>
  <c r="H86" i="87"/>
  <c r="H82" i="87"/>
  <c r="H78" i="87"/>
  <c r="H74" i="87"/>
  <c r="H70" i="87"/>
  <c r="H65" i="87"/>
  <c r="H108" i="87"/>
  <c r="H100" i="87"/>
  <c r="H95" i="87"/>
  <c r="H96" i="87"/>
  <c r="H92" i="87"/>
  <c r="H112" i="87"/>
  <c r="H104" i="87"/>
  <c r="H66" i="87"/>
  <c r="H91" i="87"/>
  <c r="H88" i="87"/>
  <c r="H84" i="87"/>
  <c r="H80" i="87"/>
  <c r="H76" i="87"/>
  <c r="H72" i="87"/>
  <c r="H68" i="87"/>
  <c r="H67" i="87"/>
  <c r="H63" i="87"/>
  <c r="B28" i="87"/>
  <c r="B27" i="87"/>
  <c r="C31" i="87"/>
  <c r="U8" i="87" s="1"/>
  <c r="V8" i="87" s="1"/>
  <c r="R30" i="87"/>
  <c r="B31" i="87" s="1"/>
  <c r="B29" i="87"/>
  <c r="R28" i="87"/>
  <c r="C32" i="87"/>
  <c r="U10" i="87" s="1"/>
  <c r="V10" i="87" s="1"/>
  <c r="R31" i="87"/>
  <c r="B32" i="87" s="1"/>
  <c r="H87" i="87"/>
  <c r="H83" i="87"/>
  <c r="H79" i="87"/>
  <c r="H75" i="87"/>
  <c r="H71" i="87"/>
  <c r="H64" i="87"/>
  <c r="R29" i="87"/>
  <c r="U15" i="87"/>
  <c r="W16" i="87" s="1"/>
  <c r="U24" i="87"/>
  <c r="U37" i="87"/>
  <c r="W38" i="87" s="1"/>
  <c r="U29" i="87"/>
  <c r="U25" i="87"/>
  <c r="U30" i="87"/>
  <c r="W31" i="87" s="1"/>
  <c r="U34" i="87"/>
  <c r="W35" i="87" s="1"/>
  <c r="G58" i="87"/>
  <c r="G57" i="87"/>
  <c r="U7" i="87"/>
  <c r="V7" i="87" s="1"/>
  <c r="T59" i="87"/>
  <c r="T58" i="87"/>
  <c r="T70" i="87"/>
  <c r="T71" i="87"/>
  <c r="T94" i="87"/>
  <c r="T95" i="87"/>
  <c r="T51" i="87"/>
  <c r="T50" i="87"/>
  <c r="T80" i="87"/>
  <c r="T81" i="87"/>
  <c r="T96" i="87"/>
  <c r="T88" i="87"/>
  <c r="T89" i="87"/>
  <c r="I122" i="86"/>
  <c r="I123" i="86"/>
  <c r="I122" i="45"/>
  <c r="J123" i="86"/>
  <c r="H57" i="86"/>
  <c r="U5" i="86"/>
  <c r="V5" i="86" s="1"/>
  <c r="U23" i="86"/>
  <c r="U29" i="86"/>
  <c r="U17" i="86"/>
  <c r="U38" i="86"/>
  <c r="U25" i="86"/>
  <c r="U33" i="86"/>
  <c r="H111" i="86"/>
  <c r="H107" i="86"/>
  <c r="H103" i="86"/>
  <c r="H99" i="86"/>
  <c r="H97" i="86"/>
  <c r="H93" i="86"/>
  <c r="H89" i="86"/>
  <c r="H85" i="86"/>
  <c r="H81" i="86"/>
  <c r="H77" i="86"/>
  <c r="H113" i="86"/>
  <c r="H109" i="86"/>
  <c r="H105" i="86"/>
  <c r="H101" i="86"/>
  <c r="H95" i="86"/>
  <c r="H91" i="86"/>
  <c r="H87" i="86"/>
  <c r="H83" i="86"/>
  <c r="H79" i="86"/>
  <c r="H75" i="86"/>
  <c r="H71" i="86"/>
  <c r="H96" i="86"/>
  <c r="H92" i="86"/>
  <c r="H88" i="86"/>
  <c r="H84" i="86"/>
  <c r="H80" i="86"/>
  <c r="H76" i="86"/>
  <c r="H73" i="86"/>
  <c r="H69" i="86"/>
  <c r="H68" i="86"/>
  <c r="H64" i="86"/>
  <c r="H74" i="86"/>
  <c r="H70" i="86"/>
  <c r="H67" i="86"/>
  <c r="H63" i="86"/>
  <c r="R31" i="86"/>
  <c r="B32" i="86" s="1"/>
  <c r="R30" i="86"/>
  <c r="B31" i="86" s="1"/>
  <c r="H112" i="86"/>
  <c r="H110" i="86"/>
  <c r="H108" i="86"/>
  <c r="H106" i="86"/>
  <c r="H104" i="86"/>
  <c r="H102" i="86"/>
  <c r="H100" i="86"/>
  <c r="H98" i="86"/>
  <c r="H94" i="86"/>
  <c r="H90" i="86"/>
  <c r="H86" i="86"/>
  <c r="H65" i="86"/>
  <c r="R29" i="86"/>
  <c r="B28" i="86"/>
  <c r="B27" i="86"/>
  <c r="H72" i="86"/>
  <c r="C32" i="86"/>
  <c r="U10" i="86" s="1"/>
  <c r="V10" i="86" s="1"/>
  <c r="R28" i="86"/>
  <c r="B29" i="86"/>
  <c r="H82" i="86"/>
  <c r="H78" i="86"/>
  <c r="H66" i="86"/>
  <c r="C31" i="86"/>
  <c r="U8" i="86" s="1"/>
  <c r="V8" i="86" s="1"/>
  <c r="I58" i="86"/>
  <c r="U9" i="86"/>
  <c r="V9" i="86" s="1"/>
  <c r="I57" i="86"/>
  <c r="T49" i="86"/>
  <c r="W15" i="86"/>
  <c r="T48" i="86"/>
  <c r="T82" i="86"/>
  <c r="W34" i="86"/>
  <c r="U28" i="86"/>
  <c r="F58" i="86"/>
  <c r="F57" i="86"/>
  <c r="U3" i="86"/>
  <c r="V3" i="86" s="1"/>
  <c r="U20" i="86"/>
  <c r="W21" i="86" s="1"/>
  <c r="U26" i="86"/>
  <c r="U39" i="86"/>
  <c r="U35" i="86"/>
  <c r="U18" i="86"/>
  <c r="U19" i="86"/>
  <c r="U36" i="86"/>
  <c r="W37" i="86" s="1"/>
  <c r="G57" i="86"/>
  <c r="G58" i="86"/>
  <c r="U7" i="86"/>
  <c r="V7" i="86" s="1"/>
  <c r="T63" i="86"/>
  <c r="T73" i="86"/>
  <c r="T72" i="86"/>
  <c r="T46" i="86"/>
  <c r="T47" i="86"/>
  <c r="T92" i="86"/>
  <c r="T93" i="86"/>
  <c r="T61" i="86"/>
  <c r="T60" i="86"/>
  <c r="T80" i="86"/>
  <c r="T81" i="86"/>
  <c r="H101" i="45"/>
  <c r="J101" i="45" s="1"/>
  <c r="H89" i="45"/>
  <c r="J89" i="45" s="1"/>
  <c r="H80" i="45"/>
  <c r="K80" i="45" s="1"/>
  <c r="H112" i="45"/>
  <c r="I112" i="45" s="1"/>
  <c r="H69" i="45"/>
  <c r="J69" i="45" s="1"/>
  <c r="R29" i="45"/>
  <c r="H109" i="45"/>
  <c r="J109" i="45" s="1"/>
  <c r="H100" i="45"/>
  <c r="J100" i="45" s="1"/>
  <c r="H88" i="45"/>
  <c r="H77" i="45"/>
  <c r="H68" i="45"/>
  <c r="J68" i="45" s="1"/>
  <c r="R28" i="45"/>
  <c r="H105" i="45"/>
  <c r="J105" i="45" s="1"/>
  <c r="H96" i="45"/>
  <c r="J96" i="45" s="1"/>
  <c r="H85" i="45"/>
  <c r="H73" i="45"/>
  <c r="J73" i="45" s="1"/>
  <c r="H64" i="45"/>
  <c r="I64" i="45" s="1"/>
  <c r="B27" i="45"/>
  <c r="H104" i="45"/>
  <c r="I104" i="45" s="1"/>
  <c r="H93" i="45"/>
  <c r="I93" i="45" s="1"/>
  <c r="H84" i="45"/>
  <c r="I84" i="45" s="1"/>
  <c r="C32" i="45"/>
  <c r="U10" i="45" s="1"/>
  <c r="V10" i="45" s="1"/>
  <c r="C31" i="45"/>
  <c r="U8" i="45" s="1"/>
  <c r="V8" i="45" s="1"/>
  <c r="B38" i="45"/>
  <c r="X14" i="45" s="1"/>
  <c r="U38" i="45"/>
  <c r="U29" i="45"/>
  <c r="U14" i="45"/>
  <c r="U24" i="45"/>
  <c r="K89" i="45"/>
  <c r="R31" i="45"/>
  <c r="B32" i="45" s="1"/>
  <c r="B29" i="45"/>
  <c r="H110" i="45"/>
  <c r="H107" i="45"/>
  <c r="H102" i="45"/>
  <c r="H99" i="45"/>
  <c r="H94" i="45"/>
  <c r="H91" i="45"/>
  <c r="H86" i="45"/>
  <c r="H83" i="45"/>
  <c r="H78" i="45"/>
  <c r="H75" i="45"/>
  <c r="H70" i="45"/>
  <c r="H67" i="45"/>
  <c r="H111" i="45"/>
  <c r="H106" i="45"/>
  <c r="H103" i="45"/>
  <c r="H98" i="45"/>
  <c r="H95" i="45"/>
  <c r="H90" i="45"/>
  <c r="H87" i="45"/>
  <c r="H82" i="45"/>
  <c r="H79" i="45"/>
  <c r="H74" i="45"/>
  <c r="H71" i="45"/>
  <c r="H66" i="45"/>
  <c r="H63" i="45"/>
  <c r="U7" i="45"/>
  <c r="V7" i="45" s="1"/>
  <c r="G58" i="45"/>
  <c r="G57" i="45"/>
  <c r="U5" i="45"/>
  <c r="V5" i="45" s="1"/>
  <c r="H58" i="45"/>
  <c r="H57" i="45"/>
  <c r="F58" i="45"/>
  <c r="F57" i="45"/>
  <c r="U3" i="45"/>
  <c r="V3" i="45" s="1"/>
  <c r="R30" i="45"/>
  <c r="B31" i="45" s="1"/>
  <c r="H113" i="45"/>
  <c r="H108" i="45"/>
  <c r="J108" i="45" s="1"/>
  <c r="H97" i="45"/>
  <c r="H92" i="45"/>
  <c r="J92" i="45" s="1"/>
  <c r="H81" i="45"/>
  <c r="H76" i="45"/>
  <c r="K76" i="45" s="1"/>
  <c r="H65" i="45"/>
  <c r="U9" i="45"/>
  <c r="V9" i="45" s="1"/>
  <c r="I58" i="45"/>
  <c r="I57" i="45"/>
  <c r="K104" i="45"/>
  <c r="I88" i="45"/>
  <c r="K88" i="45"/>
  <c r="J88" i="45"/>
  <c r="I72" i="45"/>
  <c r="K72" i="45"/>
  <c r="J72" i="45"/>
  <c r="K112" i="45"/>
  <c r="I80" i="45"/>
  <c r="K64" i="45"/>
  <c r="J64" i="45"/>
  <c r="B13" i="45"/>
  <c r="J123" i="44"/>
  <c r="C21" i="44"/>
  <c r="U7" i="44" s="1"/>
  <c r="V7" i="44" s="1"/>
  <c r="B20" i="44"/>
  <c r="J122" i="44"/>
  <c r="B21" i="44"/>
  <c r="U3" i="44" s="1"/>
  <c r="V3" i="44" s="1"/>
  <c r="B22" i="44"/>
  <c r="U5" i="44" s="1"/>
  <c r="V5" i="44" s="1"/>
  <c r="B19" i="44"/>
  <c r="I122" i="44"/>
  <c r="B13" i="44"/>
  <c r="B36" i="44"/>
  <c r="U14" i="44" s="1"/>
  <c r="R42" i="43"/>
  <c r="S42" i="43" s="1"/>
  <c r="R46" i="43"/>
  <c r="S46" i="43" s="1"/>
  <c r="E111" i="43"/>
  <c r="E114" i="43" s="1"/>
  <c r="R44" i="43"/>
  <c r="S44" i="43" s="1"/>
  <c r="R48" i="43"/>
  <c r="S48" i="43" s="1"/>
  <c r="R41" i="43"/>
  <c r="S41" i="43" s="1"/>
  <c r="R45" i="43"/>
  <c r="S45" i="43" s="1"/>
  <c r="D113" i="43"/>
  <c r="D114" i="43"/>
  <c r="R5" i="43"/>
  <c r="S5" i="43" s="1"/>
  <c r="R9" i="43"/>
  <c r="S9" i="43" s="1"/>
  <c r="R13" i="43"/>
  <c r="S13" i="43" s="1"/>
  <c r="R17" i="43"/>
  <c r="S17" i="43" s="1"/>
  <c r="R21" i="43"/>
  <c r="S21" i="43" s="1"/>
  <c r="R25" i="43"/>
  <c r="S25" i="43" s="1"/>
  <c r="R29" i="43"/>
  <c r="S29" i="43" s="1"/>
  <c r="R33" i="43"/>
  <c r="S33" i="43" s="1"/>
  <c r="R37" i="43"/>
  <c r="S37" i="43" s="1"/>
  <c r="R6" i="43"/>
  <c r="S6" i="43" s="1"/>
  <c r="R10" i="43"/>
  <c r="S10" i="43" s="1"/>
  <c r="R14" i="43"/>
  <c r="S14" i="43" s="1"/>
  <c r="R18" i="43"/>
  <c r="S18" i="43" s="1"/>
  <c r="R22" i="43"/>
  <c r="S22" i="43" s="1"/>
  <c r="R26" i="43"/>
  <c r="S26" i="43" s="1"/>
  <c r="R30" i="43"/>
  <c r="S30" i="43" s="1"/>
  <c r="R34" i="43"/>
  <c r="S34" i="43" s="1"/>
  <c r="R38" i="43"/>
  <c r="S38" i="43" s="1"/>
  <c r="R3" i="43"/>
  <c r="S3" i="43" s="1"/>
  <c r="R7" i="43"/>
  <c r="S7" i="43" s="1"/>
  <c r="R11" i="43"/>
  <c r="S11" i="43" s="1"/>
  <c r="R15" i="43"/>
  <c r="S15" i="43" s="1"/>
  <c r="R19" i="43"/>
  <c r="S19" i="43" s="1"/>
  <c r="R23" i="43"/>
  <c r="S23" i="43" s="1"/>
  <c r="R27" i="43"/>
  <c r="S27" i="43" s="1"/>
  <c r="R31" i="43"/>
  <c r="S31" i="43" s="1"/>
  <c r="R35" i="43"/>
  <c r="S35" i="43" s="1"/>
  <c r="R39" i="43"/>
  <c r="S39" i="43" s="1"/>
  <c r="R4" i="43"/>
  <c r="S4" i="43" s="1"/>
  <c r="R8" i="43"/>
  <c r="S8" i="43" s="1"/>
  <c r="R12" i="43"/>
  <c r="S12" i="43" s="1"/>
  <c r="R16" i="43"/>
  <c r="S16" i="43" s="1"/>
  <c r="R20" i="43"/>
  <c r="S20" i="43" s="1"/>
  <c r="R24" i="43"/>
  <c r="S24" i="43" s="1"/>
  <c r="R28" i="43"/>
  <c r="S28" i="43" s="1"/>
  <c r="R32" i="43"/>
  <c r="S32" i="43" s="1"/>
  <c r="R36" i="43"/>
  <c r="S36" i="43" s="1"/>
  <c r="R40" i="43"/>
  <c r="S40" i="43" s="1"/>
  <c r="E26" i="45"/>
  <c r="I57" i="44"/>
  <c r="I58" i="44"/>
  <c r="G58" i="44"/>
  <c r="E27" i="45"/>
  <c r="F25" i="45"/>
  <c r="I123" i="44"/>
  <c r="G57" i="44" l="1"/>
  <c r="U22" i="45"/>
  <c r="T48" i="90"/>
  <c r="T66" i="90"/>
  <c r="T91" i="90"/>
  <c r="W25" i="90"/>
  <c r="U35" i="97"/>
  <c r="U18" i="97"/>
  <c r="W38" i="113"/>
  <c r="U27" i="45"/>
  <c r="K101" i="45"/>
  <c r="W24" i="90"/>
  <c r="U34" i="97"/>
  <c r="W35" i="118"/>
  <c r="W32" i="86"/>
  <c r="T66" i="86"/>
  <c r="W24" i="86"/>
  <c r="W22" i="86"/>
  <c r="T79" i="86"/>
  <c r="T50" i="86"/>
  <c r="W16" i="86"/>
  <c r="W30" i="86"/>
  <c r="W31" i="86"/>
  <c r="T62" i="86"/>
  <c r="T87" i="86"/>
  <c r="B41" i="120"/>
  <c r="E107" i="120" s="1"/>
  <c r="E107" i="122"/>
  <c r="E106" i="122"/>
  <c r="B113" i="122"/>
  <c r="E113" i="122" s="1"/>
  <c r="B103" i="122"/>
  <c r="D103" i="122"/>
  <c r="E107" i="121"/>
  <c r="E106" i="121"/>
  <c r="B113" i="121"/>
  <c r="E113" i="121" s="1"/>
  <c r="B103" i="121"/>
  <c r="D103" i="121"/>
  <c r="B113" i="120"/>
  <c r="E113" i="120" s="1"/>
  <c r="B103" i="120"/>
  <c r="D103" i="120"/>
  <c r="U17" i="97"/>
  <c r="F58" i="44"/>
  <c r="W18" i="118"/>
  <c r="W25" i="117"/>
  <c r="T66" i="117"/>
  <c r="U29" i="115"/>
  <c r="U28" i="115"/>
  <c r="U32" i="115"/>
  <c r="T46" i="115"/>
  <c r="U24" i="115"/>
  <c r="U18" i="115"/>
  <c r="U39" i="115"/>
  <c r="U35" i="115"/>
  <c r="U15" i="115"/>
  <c r="U20" i="115"/>
  <c r="U27" i="115"/>
  <c r="T47" i="115"/>
  <c r="U25" i="115"/>
  <c r="U19" i="115"/>
  <c r="X14" i="115"/>
  <c r="U38" i="115"/>
  <c r="U34" i="115"/>
  <c r="U30" i="115"/>
  <c r="U36" i="115"/>
  <c r="U21" i="115"/>
  <c r="U26" i="115"/>
  <c r="U22" i="115"/>
  <c r="U31" i="115"/>
  <c r="U23" i="115"/>
  <c r="U16" i="115"/>
  <c r="W37" i="113"/>
  <c r="T96" i="113"/>
  <c r="T87" i="113"/>
  <c r="T95" i="113"/>
  <c r="V15" i="113"/>
  <c r="X15" i="113" s="1"/>
  <c r="W35" i="113"/>
  <c r="W39" i="113"/>
  <c r="T79" i="113"/>
  <c r="W27" i="113"/>
  <c r="V16" i="113" a="1"/>
  <c r="T71" i="113"/>
  <c r="W31" i="113"/>
  <c r="T86" i="111"/>
  <c r="T87" i="111"/>
  <c r="W34" i="111"/>
  <c r="U25" i="110"/>
  <c r="U26" i="110"/>
  <c r="T47" i="110"/>
  <c r="U38" i="110"/>
  <c r="U20" i="110"/>
  <c r="U33" i="110"/>
  <c r="U37" i="110"/>
  <c r="U19" i="110"/>
  <c r="U24" i="110"/>
  <c r="U32" i="110"/>
  <c r="U28" i="110"/>
  <c r="U34" i="110"/>
  <c r="T46" i="110"/>
  <c r="U21" i="110"/>
  <c r="X14" i="110"/>
  <c r="U23" i="110"/>
  <c r="U15" i="110"/>
  <c r="U22" i="110"/>
  <c r="U30" i="110"/>
  <c r="U35" i="110"/>
  <c r="U16" i="110"/>
  <c r="U31" i="110"/>
  <c r="U27" i="110"/>
  <c r="U17" i="110"/>
  <c r="U39" i="110"/>
  <c r="U36" i="110"/>
  <c r="U18" i="110"/>
  <c r="U29" i="110"/>
  <c r="T72" i="109"/>
  <c r="T64" i="109"/>
  <c r="T49" i="109"/>
  <c r="W16" i="109"/>
  <c r="W31" i="109"/>
  <c r="U18" i="107"/>
  <c r="U26" i="107"/>
  <c r="U34" i="107"/>
  <c r="U38" i="107"/>
  <c r="U15" i="107"/>
  <c r="U22" i="107"/>
  <c r="U31" i="107"/>
  <c r="U17" i="107"/>
  <c r="U27" i="107"/>
  <c r="U33" i="107"/>
  <c r="U32" i="107"/>
  <c r="U23" i="107"/>
  <c r="U16" i="107"/>
  <c r="U21" i="107"/>
  <c r="U29" i="107"/>
  <c r="U28" i="107"/>
  <c r="U25" i="107"/>
  <c r="U20" i="107"/>
  <c r="X14" i="107"/>
  <c r="U24" i="107"/>
  <c r="U30" i="107"/>
  <c r="U35" i="107"/>
  <c r="U39" i="107"/>
  <c r="U19" i="107"/>
  <c r="U36" i="107"/>
  <c r="U37" i="107"/>
  <c r="U28" i="104"/>
  <c r="U21" i="104"/>
  <c r="U34" i="104"/>
  <c r="U26" i="104"/>
  <c r="U19" i="104"/>
  <c r="U18" i="104"/>
  <c r="U29" i="104"/>
  <c r="U22" i="104"/>
  <c r="U27" i="104"/>
  <c r="U35" i="104"/>
  <c r="U33" i="104"/>
  <c r="U16" i="104"/>
  <c r="U17" i="104"/>
  <c r="U15" i="104"/>
  <c r="U23" i="104"/>
  <c r="U36" i="104"/>
  <c r="T46" i="104"/>
  <c r="U37" i="104"/>
  <c r="U39" i="104"/>
  <c r="U25" i="104"/>
  <c r="X14" i="104"/>
  <c r="T47" i="104"/>
  <c r="U20" i="104"/>
  <c r="U24" i="104"/>
  <c r="U30" i="104"/>
  <c r="U38" i="104"/>
  <c r="U31" i="104"/>
  <c r="U32" i="104"/>
  <c r="X14" i="99"/>
  <c r="U37" i="99"/>
  <c r="U34" i="99"/>
  <c r="U25" i="99"/>
  <c r="U30" i="99"/>
  <c r="U15" i="99"/>
  <c r="U20" i="99"/>
  <c r="U26" i="99"/>
  <c r="U16" i="99"/>
  <c r="U19" i="99"/>
  <c r="U29" i="99"/>
  <c r="U36" i="99"/>
  <c r="U38" i="99"/>
  <c r="U22" i="99"/>
  <c r="U23" i="99"/>
  <c r="T46" i="99"/>
  <c r="T47" i="99"/>
  <c r="U28" i="99"/>
  <c r="U39" i="99"/>
  <c r="U17" i="99"/>
  <c r="U27" i="99"/>
  <c r="U18" i="99"/>
  <c r="U33" i="99"/>
  <c r="U31" i="99"/>
  <c r="U32" i="99"/>
  <c r="U24" i="99"/>
  <c r="U35" i="99"/>
  <c r="U21" i="99"/>
  <c r="U22" i="97"/>
  <c r="U38" i="97"/>
  <c r="U28" i="97"/>
  <c r="U33" i="97"/>
  <c r="U20" i="97"/>
  <c r="U30" i="97"/>
  <c r="U29" i="97"/>
  <c r="U23" i="97"/>
  <c r="U39" i="97"/>
  <c r="U31" i="97"/>
  <c r="U15" i="97"/>
  <c r="U24" i="97"/>
  <c r="U16" i="97"/>
  <c r="U37" i="97"/>
  <c r="U36" i="97"/>
  <c r="U26" i="97"/>
  <c r="U32" i="97"/>
  <c r="U19" i="97"/>
  <c r="U27" i="97"/>
  <c r="U21" i="97"/>
  <c r="T49" i="90"/>
  <c r="T58" i="90"/>
  <c r="W21" i="90"/>
  <c r="W36" i="90"/>
  <c r="W15" i="90"/>
  <c r="T97" i="87"/>
  <c r="J112" i="45"/>
  <c r="J104" i="45"/>
  <c r="K73" i="45"/>
  <c r="K100" i="45"/>
  <c r="I73" i="45"/>
  <c r="I100" i="45"/>
  <c r="R31" i="44"/>
  <c r="B32" i="44" s="1"/>
  <c r="U6" i="44" s="1"/>
  <c r="V6" i="44" s="1"/>
  <c r="H57" i="44"/>
  <c r="B30" i="44"/>
  <c r="B29" i="44"/>
  <c r="C32" i="44"/>
  <c r="U10" i="44" s="1"/>
  <c r="V10" i="44" s="1"/>
  <c r="H113" i="44"/>
  <c r="H107" i="44"/>
  <c r="H100" i="44"/>
  <c r="H92" i="44"/>
  <c r="H85" i="44"/>
  <c r="H79" i="44"/>
  <c r="H71" i="44"/>
  <c r="H64" i="44"/>
  <c r="C31" i="44"/>
  <c r="U8" i="44" s="1"/>
  <c r="V8" i="44" s="1"/>
  <c r="H112" i="44"/>
  <c r="H105" i="44"/>
  <c r="H97" i="44"/>
  <c r="H91" i="44"/>
  <c r="H84" i="44"/>
  <c r="H76" i="44"/>
  <c r="H69" i="44"/>
  <c r="H63" i="44"/>
  <c r="R28" i="44"/>
  <c r="H111" i="44"/>
  <c r="H103" i="44"/>
  <c r="H96" i="44"/>
  <c r="H89" i="44"/>
  <c r="H81" i="44"/>
  <c r="H75" i="44"/>
  <c r="H68" i="44"/>
  <c r="H108" i="44"/>
  <c r="H101" i="44"/>
  <c r="H95" i="44"/>
  <c r="H87" i="44"/>
  <c r="H80" i="44"/>
  <c r="H73" i="44"/>
  <c r="H65" i="44"/>
  <c r="H72" i="44"/>
  <c r="H93" i="44"/>
  <c r="B28" i="44"/>
  <c r="H66" i="44"/>
  <c r="H82" i="44"/>
  <c r="H98" i="44"/>
  <c r="H106" i="44"/>
  <c r="H77" i="44"/>
  <c r="H99" i="44"/>
  <c r="H70" i="44"/>
  <c r="H86" i="44"/>
  <c r="H102" i="44"/>
  <c r="B27" i="44"/>
  <c r="H83" i="44"/>
  <c r="H74" i="44"/>
  <c r="H67" i="44"/>
  <c r="H88" i="44"/>
  <c r="H109" i="44"/>
  <c r="H78" i="44"/>
  <c r="H94" i="44"/>
  <c r="H110" i="44"/>
  <c r="R30" i="44"/>
  <c r="B31" i="44" s="1"/>
  <c r="U4" i="44" s="1"/>
  <c r="V4" i="44" s="1"/>
  <c r="H104" i="44"/>
  <c r="H90" i="44"/>
  <c r="R29" i="44"/>
  <c r="B38" i="44"/>
  <c r="T94" i="119"/>
  <c r="T95" i="119"/>
  <c r="W38" i="119"/>
  <c r="T80" i="119"/>
  <c r="W31" i="119"/>
  <c r="T81" i="119"/>
  <c r="I76" i="119"/>
  <c r="K76" i="119"/>
  <c r="J76" i="119"/>
  <c r="I72" i="119"/>
  <c r="K72" i="119"/>
  <c r="J72" i="119"/>
  <c r="I112" i="119"/>
  <c r="K112" i="119"/>
  <c r="J112" i="119"/>
  <c r="I64" i="119"/>
  <c r="K64" i="119"/>
  <c r="J64" i="119"/>
  <c r="J83" i="119"/>
  <c r="I83" i="119"/>
  <c r="K83" i="119"/>
  <c r="K65" i="119"/>
  <c r="I65" i="119"/>
  <c r="J65" i="119"/>
  <c r="K82" i="119"/>
  <c r="J82" i="119"/>
  <c r="I82" i="119"/>
  <c r="K90" i="119"/>
  <c r="J90" i="119"/>
  <c r="I90" i="119"/>
  <c r="K106" i="119"/>
  <c r="I106" i="119"/>
  <c r="J106" i="119"/>
  <c r="J101" i="119"/>
  <c r="K101" i="119"/>
  <c r="I101" i="119"/>
  <c r="K69" i="119"/>
  <c r="I69" i="119"/>
  <c r="J69" i="119"/>
  <c r="I85" i="119"/>
  <c r="J85" i="119"/>
  <c r="K85" i="119"/>
  <c r="J99" i="119"/>
  <c r="I99" i="119"/>
  <c r="K99" i="119"/>
  <c r="T92" i="119"/>
  <c r="T93" i="119"/>
  <c r="W37" i="119"/>
  <c r="T96" i="119"/>
  <c r="T97" i="119"/>
  <c r="W39" i="119"/>
  <c r="T48" i="119"/>
  <c r="T49" i="119"/>
  <c r="V16" i="119" a="1"/>
  <c r="W15" i="119"/>
  <c r="V15" i="119"/>
  <c r="X15" i="119" s="1"/>
  <c r="W18" i="119"/>
  <c r="T55" i="119"/>
  <c r="T54" i="119"/>
  <c r="T56" i="119"/>
  <c r="T57" i="119"/>
  <c r="W19" i="119"/>
  <c r="T90" i="119"/>
  <c r="T91" i="119"/>
  <c r="W36" i="119"/>
  <c r="J58" i="119"/>
  <c r="U4" i="119"/>
  <c r="V4" i="119" s="1"/>
  <c r="J57" i="119"/>
  <c r="I80" i="119"/>
  <c r="K80" i="119"/>
  <c r="J80" i="119"/>
  <c r="J71" i="119"/>
  <c r="I71" i="119"/>
  <c r="K71" i="119"/>
  <c r="I88" i="119"/>
  <c r="J88" i="119"/>
  <c r="K88" i="119"/>
  <c r="K70" i="119"/>
  <c r="I70" i="119"/>
  <c r="J70" i="119"/>
  <c r="I92" i="119"/>
  <c r="K92" i="119"/>
  <c r="J92" i="119"/>
  <c r="K94" i="119"/>
  <c r="I94" i="119"/>
  <c r="J94" i="119"/>
  <c r="K110" i="119"/>
  <c r="I110" i="119"/>
  <c r="J110" i="119"/>
  <c r="J105" i="119"/>
  <c r="K105" i="119"/>
  <c r="I105" i="119"/>
  <c r="K73" i="119"/>
  <c r="I73" i="119"/>
  <c r="J73" i="119"/>
  <c r="I89" i="119"/>
  <c r="J89" i="119"/>
  <c r="K89" i="119"/>
  <c r="J103" i="119"/>
  <c r="I103" i="119"/>
  <c r="K103" i="119"/>
  <c r="T70" i="119"/>
  <c r="T71" i="119"/>
  <c r="W26" i="119"/>
  <c r="T76" i="119"/>
  <c r="T77" i="119"/>
  <c r="W29" i="119"/>
  <c r="T58" i="119"/>
  <c r="T59" i="119"/>
  <c r="W20" i="119"/>
  <c r="T72" i="119"/>
  <c r="W27" i="119"/>
  <c r="T73" i="119"/>
  <c r="T52" i="119"/>
  <c r="T53" i="119"/>
  <c r="W17" i="119"/>
  <c r="T63" i="119"/>
  <c r="T62" i="119"/>
  <c r="W22" i="119"/>
  <c r="W21" i="119"/>
  <c r="K58" i="119"/>
  <c r="K57" i="119"/>
  <c r="B33" i="119"/>
  <c r="U6" i="119"/>
  <c r="V6" i="119" s="1"/>
  <c r="K66" i="119"/>
  <c r="J66" i="119"/>
  <c r="I66" i="119"/>
  <c r="I84" i="119"/>
  <c r="K84" i="119"/>
  <c r="J84" i="119"/>
  <c r="J75" i="119"/>
  <c r="I75" i="119"/>
  <c r="K75" i="119"/>
  <c r="I100" i="119"/>
  <c r="K100" i="119"/>
  <c r="J100" i="119"/>
  <c r="K74" i="119"/>
  <c r="I74" i="119"/>
  <c r="J74" i="119"/>
  <c r="I96" i="119"/>
  <c r="K96" i="119"/>
  <c r="J96" i="119"/>
  <c r="K98" i="119"/>
  <c r="I98" i="119"/>
  <c r="J98" i="119"/>
  <c r="J91" i="119"/>
  <c r="K91" i="119"/>
  <c r="I91" i="119"/>
  <c r="J109" i="119"/>
  <c r="K109" i="119"/>
  <c r="I109" i="119"/>
  <c r="K77" i="119"/>
  <c r="I77" i="119"/>
  <c r="J77" i="119"/>
  <c r="J93" i="119"/>
  <c r="I93" i="119"/>
  <c r="K93" i="119"/>
  <c r="J107" i="119"/>
  <c r="I107" i="119"/>
  <c r="K107" i="119"/>
  <c r="W28" i="119"/>
  <c r="T88" i="119"/>
  <c r="T89" i="119"/>
  <c r="W35" i="119"/>
  <c r="T82" i="119"/>
  <c r="T83" i="119"/>
  <c r="W32" i="119"/>
  <c r="T86" i="119"/>
  <c r="T87" i="119"/>
  <c r="W34" i="119"/>
  <c r="T64" i="119"/>
  <c r="W23" i="119"/>
  <c r="T65" i="119"/>
  <c r="I68" i="119"/>
  <c r="K68" i="119"/>
  <c r="J68" i="119"/>
  <c r="J63" i="119"/>
  <c r="I63" i="119"/>
  <c r="K63" i="119"/>
  <c r="J67" i="119"/>
  <c r="I67" i="119"/>
  <c r="K67" i="119"/>
  <c r="I104" i="119"/>
  <c r="K104" i="119"/>
  <c r="J104" i="119"/>
  <c r="J87" i="119"/>
  <c r="K87" i="119"/>
  <c r="I87" i="119"/>
  <c r="J79" i="119"/>
  <c r="I79" i="119"/>
  <c r="K79" i="119"/>
  <c r="I108" i="119"/>
  <c r="K108" i="119"/>
  <c r="J108" i="119"/>
  <c r="K78" i="119"/>
  <c r="I78" i="119"/>
  <c r="J78" i="119"/>
  <c r="K86" i="119"/>
  <c r="J86" i="119"/>
  <c r="I86" i="119"/>
  <c r="K102" i="119"/>
  <c r="I102" i="119"/>
  <c r="J102" i="119"/>
  <c r="J95" i="119"/>
  <c r="K95" i="119"/>
  <c r="I95" i="119"/>
  <c r="J113" i="119"/>
  <c r="K113" i="119"/>
  <c r="I113" i="119"/>
  <c r="K81" i="119"/>
  <c r="J81" i="119"/>
  <c r="I81" i="119"/>
  <c r="J97" i="119"/>
  <c r="I97" i="119"/>
  <c r="K97" i="119"/>
  <c r="J111" i="119"/>
  <c r="I111" i="119"/>
  <c r="K111" i="119"/>
  <c r="T76" i="118"/>
  <c r="T77" i="118"/>
  <c r="W29" i="118"/>
  <c r="K70" i="118"/>
  <c r="J70" i="118"/>
  <c r="I70" i="118"/>
  <c r="K86" i="118"/>
  <c r="J86" i="118"/>
  <c r="I86" i="118"/>
  <c r="I100" i="118"/>
  <c r="K100" i="118"/>
  <c r="J100" i="118"/>
  <c r="I108" i="118"/>
  <c r="K108" i="118"/>
  <c r="J108" i="118"/>
  <c r="I67" i="118"/>
  <c r="J67" i="118"/>
  <c r="K67" i="118"/>
  <c r="I80" i="118"/>
  <c r="J80" i="118"/>
  <c r="K80" i="118"/>
  <c r="K64" i="118"/>
  <c r="I64" i="118"/>
  <c r="J64" i="118"/>
  <c r="J83" i="118"/>
  <c r="K83" i="118"/>
  <c r="I83" i="118"/>
  <c r="J95" i="118"/>
  <c r="K95" i="118"/>
  <c r="I95" i="118"/>
  <c r="J113" i="118"/>
  <c r="K113" i="118"/>
  <c r="I113" i="118"/>
  <c r="K81" i="118"/>
  <c r="J81" i="118"/>
  <c r="I81" i="118"/>
  <c r="J97" i="118"/>
  <c r="K97" i="118"/>
  <c r="I97" i="118"/>
  <c r="J111" i="118"/>
  <c r="K111" i="118"/>
  <c r="I111" i="118"/>
  <c r="T94" i="118"/>
  <c r="T95" i="118"/>
  <c r="W38" i="118"/>
  <c r="T91" i="118"/>
  <c r="W36" i="118"/>
  <c r="T90" i="118"/>
  <c r="T96" i="118"/>
  <c r="T97" i="118"/>
  <c r="W39" i="118"/>
  <c r="J58" i="118"/>
  <c r="J57" i="118"/>
  <c r="U4" i="118"/>
  <c r="V4" i="118" s="1"/>
  <c r="K74" i="118"/>
  <c r="J74" i="118"/>
  <c r="I74" i="118"/>
  <c r="K90" i="118"/>
  <c r="J90" i="118"/>
  <c r="I90" i="118"/>
  <c r="K102" i="118"/>
  <c r="I102" i="118"/>
  <c r="J102" i="118"/>
  <c r="K110" i="118"/>
  <c r="I110" i="118"/>
  <c r="J110" i="118"/>
  <c r="I68" i="118"/>
  <c r="J68" i="118"/>
  <c r="K68" i="118"/>
  <c r="I84" i="118"/>
  <c r="J84" i="118"/>
  <c r="K84" i="118"/>
  <c r="J71" i="118"/>
  <c r="I71" i="118"/>
  <c r="K71" i="118"/>
  <c r="J87" i="118"/>
  <c r="K87" i="118"/>
  <c r="I87" i="118"/>
  <c r="J101" i="118"/>
  <c r="K101" i="118"/>
  <c r="I101" i="118"/>
  <c r="K69" i="118"/>
  <c r="J69" i="118"/>
  <c r="I69" i="118"/>
  <c r="K85" i="118"/>
  <c r="J85" i="118"/>
  <c r="I85" i="118"/>
  <c r="J99" i="118"/>
  <c r="K99" i="118"/>
  <c r="I99" i="118"/>
  <c r="T92" i="118"/>
  <c r="T93" i="118"/>
  <c r="W37" i="118"/>
  <c r="T50" i="118"/>
  <c r="T51" i="118"/>
  <c r="W16" i="118"/>
  <c r="T75" i="118"/>
  <c r="T74" i="118"/>
  <c r="W28" i="118"/>
  <c r="T71" i="118"/>
  <c r="T70" i="118"/>
  <c r="W26" i="118"/>
  <c r="J66" i="118"/>
  <c r="I66" i="118"/>
  <c r="K66" i="118"/>
  <c r="K57" i="118"/>
  <c r="K58" i="118"/>
  <c r="U6" i="118"/>
  <c r="V6" i="118" s="1"/>
  <c r="B33" i="118"/>
  <c r="K78" i="118"/>
  <c r="J78" i="118"/>
  <c r="I78" i="118"/>
  <c r="K94" i="118"/>
  <c r="J94" i="118"/>
  <c r="I94" i="118"/>
  <c r="I104" i="118"/>
  <c r="K104" i="118"/>
  <c r="J104" i="118"/>
  <c r="I112" i="118"/>
  <c r="K112" i="118"/>
  <c r="J112" i="118"/>
  <c r="I72" i="118"/>
  <c r="J72" i="118"/>
  <c r="K72" i="118"/>
  <c r="I88" i="118"/>
  <c r="J88" i="118"/>
  <c r="K88" i="118"/>
  <c r="J75" i="118"/>
  <c r="I75" i="118"/>
  <c r="K75" i="118"/>
  <c r="J91" i="118"/>
  <c r="K91" i="118"/>
  <c r="I91" i="118"/>
  <c r="J105" i="118"/>
  <c r="K105" i="118"/>
  <c r="I105" i="118"/>
  <c r="K73" i="118"/>
  <c r="J73" i="118"/>
  <c r="I73" i="118"/>
  <c r="K89" i="118"/>
  <c r="J89" i="118"/>
  <c r="I89" i="118"/>
  <c r="J103" i="118"/>
  <c r="K103" i="118"/>
  <c r="I103" i="118"/>
  <c r="T84" i="118"/>
  <c r="T85" i="118"/>
  <c r="W33" i="118"/>
  <c r="T72" i="118"/>
  <c r="T73" i="118"/>
  <c r="W27" i="118"/>
  <c r="T83" i="118"/>
  <c r="T82" i="118"/>
  <c r="W32" i="118"/>
  <c r="K65" i="118"/>
  <c r="J65" i="118"/>
  <c r="I65" i="118"/>
  <c r="K82" i="118"/>
  <c r="J82" i="118"/>
  <c r="I82" i="118"/>
  <c r="K98" i="118"/>
  <c r="I98" i="118"/>
  <c r="J98" i="118"/>
  <c r="K106" i="118"/>
  <c r="I106" i="118"/>
  <c r="J106" i="118"/>
  <c r="I63" i="118"/>
  <c r="J63" i="118"/>
  <c r="K63" i="118"/>
  <c r="I76" i="118"/>
  <c r="J76" i="118"/>
  <c r="K76" i="118"/>
  <c r="I92" i="118"/>
  <c r="J92" i="118"/>
  <c r="K92" i="118"/>
  <c r="J79" i="118"/>
  <c r="I79" i="118"/>
  <c r="K79" i="118"/>
  <c r="I96" i="118"/>
  <c r="K96" i="118"/>
  <c r="J96" i="118"/>
  <c r="J109" i="118"/>
  <c r="K109" i="118"/>
  <c r="I109" i="118"/>
  <c r="K77" i="118"/>
  <c r="J77" i="118"/>
  <c r="I77" i="118"/>
  <c r="K93" i="118"/>
  <c r="J93" i="118"/>
  <c r="I93" i="118"/>
  <c r="J107" i="118"/>
  <c r="K107" i="118"/>
  <c r="I107" i="118"/>
  <c r="W30" i="118"/>
  <c r="T49" i="118"/>
  <c r="V16" i="118" a="1"/>
  <c r="T48" i="118"/>
  <c r="W15" i="118"/>
  <c r="V15" i="118"/>
  <c r="X15" i="118" s="1"/>
  <c r="T53" i="118"/>
  <c r="T52" i="118"/>
  <c r="W17" i="118"/>
  <c r="K63" i="117"/>
  <c r="J63" i="117"/>
  <c r="I63" i="117"/>
  <c r="I67" i="117"/>
  <c r="K67" i="117"/>
  <c r="J67" i="117"/>
  <c r="K74" i="117"/>
  <c r="I74" i="117"/>
  <c r="J74" i="117"/>
  <c r="K82" i="117"/>
  <c r="I82" i="117"/>
  <c r="J82" i="117"/>
  <c r="K90" i="117"/>
  <c r="I90" i="117"/>
  <c r="J90" i="117"/>
  <c r="J66" i="117"/>
  <c r="K66" i="117"/>
  <c r="I66" i="117"/>
  <c r="I100" i="117"/>
  <c r="J100" i="117"/>
  <c r="K100" i="117"/>
  <c r="J75" i="117"/>
  <c r="K75" i="117"/>
  <c r="I75" i="117"/>
  <c r="J91" i="117"/>
  <c r="K91" i="117"/>
  <c r="I91" i="117"/>
  <c r="K110" i="117"/>
  <c r="I110" i="117"/>
  <c r="J110" i="117"/>
  <c r="K73" i="117"/>
  <c r="I73" i="117"/>
  <c r="J73" i="117"/>
  <c r="K89" i="117"/>
  <c r="I89" i="117"/>
  <c r="J89" i="117"/>
  <c r="I103" i="117"/>
  <c r="K103" i="117"/>
  <c r="J103" i="117"/>
  <c r="T87" i="117"/>
  <c r="W34" i="117"/>
  <c r="T86" i="117"/>
  <c r="T92" i="117"/>
  <c r="T93" i="117"/>
  <c r="W37" i="117"/>
  <c r="T55" i="117"/>
  <c r="T54" i="117"/>
  <c r="W18" i="117"/>
  <c r="W15" i="117"/>
  <c r="T48" i="117"/>
  <c r="V15" i="117"/>
  <c r="X15" i="117" s="1"/>
  <c r="T49" i="117"/>
  <c r="V16" i="117" a="1"/>
  <c r="J64" i="117"/>
  <c r="K64" i="117"/>
  <c r="I64" i="117"/>
  <c r="U4" i="117"/>
  <c r="V4" i="117" s="1"/>
  <c r="J57" i="117"/>
  <c r="J58" i="117"/>
  <c r="I112" i="117"/>
  <c r="K112" i="117"/>
  <c r="J112" i="117"/>
  <c r="I68" i="117"/>
  <c r="J68" i="117"/>
  <c r="K68" i="117"/>
  <c r="I76" i="117"/>
  <c r="J76" i="117"/>
  <c r="K76" i="117"/>
  <c r="I84" i="117"/>
  <c r="J84" i="117"/>
  <c r="K84" i="117"/>
  <c r="I92" i="117"/>
  <c r="J92" i="117"/>
  <c r="K92" i="117"/>
  <c r="J101" i="117"/>
  <c r="K101" i="117"/>
  <c r="I101" i="117"/>
  <c r="I104" i="117"/>
  <c r="J104" i="117"/>
  <c r="K104" i="117"/>
  <c r="J79" i="117"/>
  <c r="K79" i="117"/>
  <c r="I79" i="117"/>
  <c r="J95" i="117"/>
  <c r="K95" i="117"/>
  <c r="I95" i="117"/>
  <c r="J109" i="117"/>
  <c r="K109" i="117"/>
  <c r="I109" i="117"/>
  <c r="K77" i="117"/>
  <c r="I77" i="117"/>
  <c r="J77" i="117"/>
  <c r="K93" i="117"/>
  <c r="I93" i="117"/>
  <c r="J93" i="117"/>
  <c r="J107" i="117"/>
  <c r="I107" i="117"/>
  <c r="K107" i="117"/>
  <c r="T61" i="117"/>
  <c r="T60" i="117"/>
  <c r="W21" i="117"/>
  <c r="T59" i="117"/>
  <c r="W20" i="117"/>
  <c r="T58" i="117"/>
  <c r="T72" i="117"/>
  <c r="T73" i="117"/>
  <c r="W27" i="117"/>
  <c r="K98" i="117"/>
  <c r="J98" i="117"/>
  <c r="I98" i="117"/>
  <c r="K57" i="117"/>
  <c r="K58" i="117"/>
  <c r="B33" i="117"/>
  <c r="U6" i="117"/>
  <c r="V6" i="117" s="1"/>
  <c r="K70" i="117"/>
  <c r="I70" i="117"/>
  <c r="J70" i="117"/>
  <c r="K78" i="117"/>
  <c r="I78" i="117"/>
  <c r="J78" i="117"/>
  <c r="K86" i="117"/>
  <c r="I86" i="117"/>
  <c r="J86" i="117"/>
  <c r="K94" i="117"/>
  <c r="J94" i="117"/>
  <c r="I94" i="117"/>
  <c r="J105" i="117"/>
  <c r="K105" i="117"/>
  <c r="I105" i="117"/>
  <c r="I108" i="117"/>
  <c r="K108" i="117"/>
  <c r="J108" i="117"/>
  <c r="J83" i="117"/>
  <c r="K83" i="117"/>
  <c r="I83" i="117"/>
  <c r="K102" i="117"/>
  <c r="J102" i="117"/>
  <c r="I102" i="117"/>
  <c r="J113" i="117"/>
  <c r="K113" i="117"/>
  <c r="I113" i="117"/>
  <c r="K81" i="117"/>
  <c r="I81" i="117"/>
  <c r="J81" i="117"/>
  <c r="K97" i="117"/>
  <c r="J97" i="117"/>
  <c r="I97" i="117"/>
  <c r="J111" i="117"/>
  <c r="I111" i="117"/>
  <c r="K111" i="117"/>
  <c r="T79" i="117"/>
  <c r="W30" i="117"/>
  <c r="T78" i="117"/>
  <c r="T57" i="117"/>
  <c r="T56" i="117"/>
  <c r="W19" i="117"/>
  <c r="W17" i="117"/>
  <c r="T53" i="117"/>
  <c r="T52" i="117"/>
  <c r="I72" i="117"/>
  <c r="J72" i="117"/>
  <c r="K72" i="117"/>
  <c r="I80" i="117"/>
  <c r="J80" i="117"/>
  <c r="K80" i="117"/>
  <c r="I88" i="117"/>
  <c r="J88" i="117"/>
  <c r="K88" i="117"/>
  <c r="I65" i="117"/>
  <c r="K65" i="117"/>
  <c r="J65" i="117"/>
  <c r="I96" i="117"/>
  <c r="J96" i="117"/>
  <c r="K96" i="117"/>
  <c r="J71" i="117"/>
  <c r="K71" i="117"/>
  <c r="I71" i="117"/>
  <c r="J87" i="117"/>
  <c r="K87" i="117"/>
  <c r="I87" i="117"/>
  <c r="K106" i="117"/>
  <c r="I106" i="117"/>
  <c r="J106" i="117"/>
  <c r="K69" i="117"/>
  <c r="I69" i="117"/>
  <c r="J69" i="117"/>
  <c r="K85" i="117"/>
  <c r="I85" i="117"/>
  <c r="J85" i="117"/>
  <c r="I99" i="117"/>
  <c r="K99" i="117"/>
  <c r="J99" i="117"/>
  <c r="T65" i="117"/>
  <c r="W23" i="117"/>
  <c r="T64" i="117"/>
  <c r="T84" i="117"/>
  <c r="T85" i="117"/>
  <c r="W33" i="117"/>
  <c r="T91" i="117"/>
  <c r="W36" i="117"/>
  <c r="T90" i="117"/>
  <c r="U48" i="116"/>
  <c r="U47" i="116"/>
  <c r="K70" i="116"/>
  <c r="J70" i="116"/>
  <c r="I70" i="116"/>
  <c r="K57" i="116"/>
  <c r="B33" i="116"/>
  <c r="K58" i="116"/>
  <c r="U6" i="116"/>
  <c r="V6" i="116" s="1"/>
  <c r="K64" i="116"/>
  <c r="I64" i="116"/>
  <c r="J64" i="116"/>
  <c r="J83" i="116"/>
  <c r="I83" i="116"/>
  <c r="K83" i="116"/>
  <c r="K98" i="116"/>
  <c r="I98" i="116"/>
  <c r="J98" i="116"/>
  <c r="I112" i="116"/>
  <c r="K112" i="116"/>
  <c r="J112" i="116"/>
  <c r="K86" i="116"/>
  <c r="J86" i="116"/>
  <c r="I86" i="116"/>
  <c r="I68" i="116"/>
  <c r="J68" i="116"/>
  <c r="K68" i="116"/>
  <c r="I84" i="116"/>
  <c r="K84" i="116"/>
  <c r="J84" i="116"/>
  <c r="J91" i="116"/>
  <c r="I91" i="116"/>
  <c r="K91" i="116"/>
  <c r="J109" i="116"/>
  <c r="K109" i="116"/>
  <c r="I109" i="116"/>
  <c r="J77" i="116"/>
  <c r="K77" i="116"/>
  <c r="I77" i="116"/>
  <c r="J93" i="116"/>
  <c r="I93" i="116"/>
  <c r="K93" i="116"/>
  <c r="J107" i="116"/>
  <c r="I107" i="116"/>
  <c r="K107" i="116"/>
  <c r="J58" i="116"/>
  <c r="J57" i="116"/>
  <c r="U4" i="116"/>
  <c r="V4" i="116" s="1"/>
  <c r="J71" i="116"/>
  <c r="I71" i="116"/>
  <c r="K71" i="116"/>
  <c r="J87" i="116"/>
  <c r="I87" i="116"/>
  <c r="K87" i="116"/>
  <c r="I100" i="116"/>
  <c r="K100" i="116"/>
  <c r="J100" i="116"/>
  <c r="K74" i="116"/>
  <c r="J74" i="116"/>
  <c r="I74" i="116"/>
  <c r="I108" i="116"/>
  <c r="K108" i="116"/>
  <c r="J108" i="116"/>
  <c r="I72" i="116"/>
  <c r="K72" i="116"/>
  <c r="J72" i="116"/>
  <c r="I88" i="116"/>
  <c r="K88" i="116"/>
  <c r="J88" i="116"/>
  <c r="J95" i="116"/>
  <c r="I95" i="116"/>
  <c r="K95" i="116"/>
  <c r="J113" i="116"/>
  <c r="K113" i="116"/>
  <c r="I113" i="116"/>
  <c r="J81" i="116"/>
  <c r="K81" i="116"/>
  <c r="I81" i="116"/>
  <c r="J97" i="116"/>
  <c r="I97" i="116"/>
  <c r="K97" i="116"/>
  <c r="J111" i="116"/>
  <c r="I111" i="116"/>
  <c r="K111" i="116"/>
  <c r="V37" i="116"/>
  <c r="X37" i="116" s="1"/>
  <c r="V33" i="116"/>
  <c r="X33" i="116" s="1"/>
  <c r="V29" i="116"/>
  <c r="X29" i="116" s="1"/>
  <c r="V25" i="116"/>
  <c r="X25" i="116" s="1"/>
  <c r="V21" i="116"/>
  <c r="X21" i="116" s="1"/>
  <c r="V17" i="116"/>
  <c r="X17" i="116" s="1"/>
  <c r="V40" i="116"/>
  <c r="X40" i="116" s="1"/>
  <c r="U97" i="116" s="1"/>
  <c r="V36" i="116"/>
  <c r="X36" i="116" s="1"/>
  <c r="V32" i="116"/>
  <c r="X32" i="116" s="1"/>
  <c r="V28" i="116"/>
  <c r="X28" i="116" s="1"/>
  <c r="V24" i="116"/>
  <c r="X24" i="116" s="1"/>
  <c r="V20" i="116"/>
  <c r="X20" i="116" s="1"/>
  <c r="V16" i="116"/>
  <c r="X16" i="116" s="1"/>
  <c r="V39" i="116"/>
  <c r="X39" i="116" s="1"/>
  <c r="V35" i="116"/>
  <c r="X35" i="116" s="1"/>
  <c r="V31" i="116"/>
  <c r="X31" i="116" s="1"/>
  <c r="V27" i="116"/>
  <c r="X27" i="116" s="1"/>
  <c r="V23" i="116"/>
  <c r="X23" i="116" s="1"/>
  <c r="V19" i="116"/>
  <c r="X19" i="116" s="1"/>
  <c r="V38" i="116"/>
  <c r="X38" i="116" s="1"/>
  <c r="V34" i="116"/>
  <c r="X34" i="116" s="1"/>
  <c r="V30" i="116"/>
  <c r="X30" i="116" s="1"/>
  <c r="V26" i="116"/>
  <c r="X26" i="116" s="1"/>
  <c r="V22" i="116"/>
  <c r="X22" i="116" s="1"/>
  <c r="V18" i="116"/>
  <c r="X18" i="116" s="1"/>
  <c r="J65" i="116"/>
  <c r="K65" i="116"/>
  <c r="I65" i="116"/>
  <c r="I92" i="116"/>
  <c r="K92" i="116"/>
  <c r="J92" i="116"/>
  <c r="J75" i="116"/>
  <c r="I75" i="116"/>
  <c r="K75" i="116"/>
  <c r="K90" i="116"/>
  <c r="I90" i="116"/>
  <c r="J90" i="116"/>
  <c r="K102" i="116"/>
  <c r="I102" i="116"/>
  <c r="J102" i="116"/>
  <c r="K78" i="116"/>
  <c r="J78" i="116"/>
  <c r="I78" i="116"/>
  <c r="I63" i="116"/>
  <c r="K63" i="116"/>
  <c r="J63" i="116"/>
  <c r="I76" i="116"/>
  <c r="K76" i="116"/>
  <c r="J76" i="116"/>
  <c r="K106" i="116"/>
  <c r="I106" i="116"/>
  <c r="J106" i="116"/>
  <c r="J101" i="116"/>
  <c r="K101" i="116"/>
  <c r="I101" i="116"/>
  <c r="J69" i="116"/>
  <c r="K69" i="116"/>
  <c r="I69" i="116"/>
  <c r="J85" i="116"/>
  <c r="K85" i="116"/>
  <c r="I85" i="116"/>
  <c r="J99" i="116"/>
  <c r="K99" i="116"/>
  <c r="I99" i="116"/>
  <c r="I66" i="116"/>
  <c r="J66" i="116"/>
  <c r="K66" i="116"/>
  <c r="I96" i="116"/>
  <c r="K96" i="116"/>
  <c r="J96" i="116"/>
  <c r="J79" i="116"/>
  <c r="I79" i="116"/>
  <c r="K79" i="116"/>
  <c r="K94" i="116"/>
  <c r="I94" i="116"/>
  <c r="J94" i="116"/>
  <c r="I104" i="116"/>
  <c r="K104" i="116"/>
  <c r="J104" i="116"/>
  <c r="K82" i="116"/>
  <c r="J82" i="116"/>
  <c r="I82" i="116"/>
  <c r="I67" i="116"/>
  <c r="K67" i="116"/>
  <c r="J67" i="116"/>
  <c r="I80" i="116"/>
  <c r="K80" i="116"/>
  <c r="J80" i="116"/>
  <c r="K110" i="116"/>
  <c r="I110" i="116"/>
  <c r="J110" i="116"/>
  <c r="J105" i="116"/>
  <c r="K105" i="116"/>
  <c r="I105" i="116"/>
  <c r="J73" i="116"/>
  <c r="K73" i="116"/>
  <c r="I73" i="116"/>
  <c r="J89" i="116"/>
  <c r="K89" i="116"/>
  <c r="I89" i="116"/>
  <c r="J103" i="116"/>
  <c r="K103" i="116"/>
  <c r="I103" i="116"/>
  <c r="I71" i="115"/>
  <c r="K71" i="115"/>
  <c r="J71" i="115"/>
  <c r="J63" i="115"/>
  <c r="I63" i="115"/>
  <c r="K63" i="115"/>
  <c r="J58" i="115"/>
  <c r="J57" i="115"/>
  <c r="U4" i="115"/>
  <c r="V4" i="115" s="1"/>
  <c r="I83" i="115"/>
  <c r="K83" i="115"/>
  <c r="J83" i="115"/>
  <c r="K99" i="115"/>
  <c r="J99" i="115"/>
  <c r="I99" i="115"/>
  <c r="J70" i="115"/>
  <c r="I70" i="115"/>
  <c r="K70" i="115"/>
  <c r="J86" i="115"/>
  <c r="I86" i="115"/>
  <c r="K86" i="115"/>
  <c r="J102" i="115"/>
  <c r="I102" i="115"/>
  <c r="K102" i="115"/>
  <c r="K69" i="115"/>
  <c r="I69" i="115"/>
  <c r="J69" i="115"/>
  <c r="K85" i="115"/>
  <c r="J85" i="115"/>
  <c r="I85" i="115"/>
  <c r="I101" i="115"/>
  <c r="K101" i="115"/>
  <c r="J101" i="115"/>
  <c r="K68" i="115"/>
  <c r="I68" i="115"/>
  <c r="J68" i="115"/>
  <c r="K84" i="115"/>
  <c r="J84" i="115"/>
  <c r="I84" i="115"/>
  <c r="K100" i="115"/>
  <c r="J100" i="115"/>
  <c r="I100" i="115"/>
  <c r="K111" i="115"/>
  <c r="J111" i="115"/>
  <c r="I111" i="115"/>
  <c r="I67" i="115"/>
  <c r="K67" i="115"/>
  <c r="J67" i="115"/>
  <c r="K58" i="115"/>
  <c r="K57" i="115"/>
  <c r="B33" i="115"/>
  <c r="U6" i="115"/>
  <c r="V6" i="115" s="1"/>
  <c r="I87" i="115"/>
  <c r="K87" i="115"/>
  <c r="J87" i="115"/>
  <c r="K103" i="115"/>
  <c r="J103" i="115"/>
  <c r="I103" i="115"/>
  <c r="J74" i="115"/>
  <c r="I74" i="115"/>
  <c r="K74" i="115"/>
  <c r="J90" i="115"/>
  <c r="I90" i="115"/>
  <c r="K90" i="115"/>
  <c r="J106" i="115"/>
  <c r="I106" i="115"/>
  <c r="K106" i="115"/>
  <c r="K73" i="115"/>
  <c r="I73" i="115"/>
  <c r="J73" i="115"/>
  <c r="K89" i="115"/>
  <c r="J89" i="115"/>
  <c r="I89" i="115"/>
  <c r="I105" i="115"/>
  <c r="K105" i="115"/>
  <c r="J105" i="115"/>
  <c r="K72" i="115"/>
  <c r="I72" i="115"/>
  <c r="J72" i="115"/>
  <c r="K88" i="115"/>
  <c r="J88" i="115"/>
  <c r="I88" i="115"/>
  <c r="K104" i="115"/>
  <c r="J104" i="115"/>
  <c r="I104" i="115"/>
  <c r="I75" i="115"/>
  <c r="K75" i="115"/>
  <c r="J75" i="115"/>
  <c r="K66" i="115"/>
  <c r="J66" i="115"/>
  <c r="I66" i="115"/>
  <c r="K93" i="115"/>
  <c r="J93" i="115"/>
  <c r="I93" i="115"/>
  <c r="K107" i="115"/>
  <c r="J107" i="115"/>
  <c r="I107" i="115"/>
  <c r="J78" i="115"/>
  <c r="I78" i="115"/>
  <c r="K78" i="115"/>
  <c r="J94" i="115"/>
  <c r="I94" i="115"/>
  <c r="K94" i="115"/>
  <c r="K110" i="115"/>
  <c r="J110" i="115"/>
  <c r="I110" i="115"/>
  <c r="K77" i="115"/>
  <c r="I77" i="115"/>
  <c r="J77" i="115"/>
  <c r="I91" i="115"/>
  <c r="J91" i="115"/>
  <c r="K91" i="115"/>
  <c r="J109" i="115"/>
  <c r="I109" i="115"/>
  <c r="K109" i="115"/>
  <c r="K76" i="115"/>
  <c r="I76" i="115"/>
  <c r="J76" i="115"/>
  <c r="K92" i="115"/>
  <c r="J92" i="115"/>
  <c r="I92" i="115"/>
  <c r="I108" i="115"/>
  <c r="K108" i="115"/>
  <c r="J108" i="115"/>
  <c r="I79" i="115"/>
  <c r="K79" i="115"/>
  <c r="J79" i="115"/>
  <c r="K97" i="115"/>
  <c r="J97" i="115"/>
  <c r="I97" i="115"/>
  <c r="I64" i="115"/>
  <c r="J64" i="115"/>
  <c r="K64" i="115"/>
  <c r="J82" i="115"/>
  <c r="I82" i="115"/>
  <c r="K82" i="115"/>
  <c r="J98" i="115"/>
  <c r="I98" i="115"/>
  <c r="K98" i="115"/>
  <c r="K65" i="115"/>
  <c r="I65" i="115"/>
  <c r="J65" i="115"/>
  <c r="K81" i="115"/>
  <c r="J81" i="115"/>
  <c r="I81" i="115"/>
  <c r="I95" i="115"/>
  <c r="J95" i="115"/>
  <c r="K95" i="115"/>
  <c r="J113" i="115"/>
  <c r="I113" i="115"/>
  <c r="K113" i="115"/>
  <c r="K80" i="115"/>
  <c r="J80" i="115"/>
  <c r="I80" i="115"/>
  <c r="K96" i="115"/>
  <c r="J96" i="115"/>
  <c r="I96" i="115"/>
  <c r="I112" i="115"/>
  <c r="K112" i="115"/>
  <c r="J112" i="115"/>
  <c r="K57" i="113"/>
  <c r="B33" i="113"/>
  <c r="K58" i="113"/>
  <c r="U6" i="113"/>
  <c r="V6" i="113" s="1"/>
  <c r="I76" i="113"/>
  <c r="K76" i="113"/>
  <c r="J76" i="113"/>
  <c r="I92" i="113"/>
  <c r="K92" i="113"/>
  <c r="J92" i="113"/>
  <c r="K106" i="113"/>
  <c r="I106" i="113"/>
  <c r="J106" i="113"/>
  <c r="I64" i="113"/>
  <c r="K64" i="113"/>
  <c r="J64" i="113"/>
  <c r="J83" i="113"/>
  <c r="I83" i="113"/>
  <c r="K83" i="113"/>
  <c r="K65" i="113"/>
  <c r="J65" i="113"/>
  <c r="I65" i="113"/>
  <c r="K82" i="113"/>
  <c r="J82" i="113"/>
  <c r="I82" i="113"/>
  <c r="K98" i="113"/>
  <c r="J98" i="113"/>
  <c r="I98" i="113"/>
  <c r="J113" i="113"/>
  <c r="K113" i="113"/>
  <c r="I113" i="113"/>
  <c r="K81" i="113"/>
  <c r="I81" i="113"/>
  <c r="J81" i="113"/>
  <c r="K97" i="113"/>
  <c r="J97" i="113"/>
  <c r="I97" i="113"/>
  <c r="J111" i="113"/>
  <c r="K111" i="113"/>
  <c r="I111" i="113"/>
  <c r="U47" i="113"/>
  <c r="U48" i="113"/>
  <c r="J67" i="113"/>
  <c r="I67" i="113"/>
  <c r="K67" i="113"/>
  <c r="I80" i="113"/>
  <c r="K80" i="113"/>
  <c r="J80" i="113"/>
  <c r="I96" i="113"/>
  <c r="K96" i="113"/>
  <c r="J96" i="113"/>
  <c r="I108" i="113"/>
  <c r="K108" i="113"/>
  <c r="J108" i="113"/>
  <c r="J71" i="113"/>
  <c r="I71" i="113"/>
  <c r="K71" i="113"/>
  <c r="J87" i="113"/>
  <c r="I87" i="113"/>
  <c r="K87" i="113"/>
  <c r="K70" i="113"/>
  <c r="J70" i="113"/>
  <c r="I70" i="113"/>
  <c r="K86" i="113"/>
  <c r="J86" i="113"/>
  <c r="I86" i="113"/>
  <c r="I100" i="113"/>
  <c r="K100" i="113"/>
  <c r="J100" i="113"/>
  <c r="K69" i="113"/>
  <c r="I69" i="113"/>
  <c r="J69" i="113"/>
  <c r="K85" i="113"/>
  <c r="I85" i="113"/>
  <c r="J85" i="113"/>
  <c r="K99" i="113"/>
  <c r="J99" i="113"/>
  <c r="I99" i="113"/>
  <c r="I68" i="113"/>
  <c r="K68" i="113"/>
  <c r="J68" i="113"/>
  <c r="I84" i="113"/>
  <c r="K84" i="113"/>
  <c r="J84" i="113"/>
  <c r="I63" i="113"/>
  <c r="K63" i="113"/>
  <c r="J63" i="113"/>
  <c r="K102" i="113"/>
  <c r="I102" i="113"/>
  <c r="J102" i="113"/>
  <c r="K110" i="113"/>
  <c r="I110" i="113"/>
  <c r="J110" i="113"/>
  <c r="J75" i="113"/>
  <c r="I75" i="113"/>
  <c r="K75" i="113"/>
  <c r="J91" i="113"/>
  <c r="I91" i="113"/>
  <c r="K91" i="113"/>
  <c r="K74" i="113"/>
  <c r="J74" i="113"/>
  <c r="I74" i="113"/>
  <c r="K90" i="113"/>
  <c r="J90" i="113"/>
  <c r="I90" i="113"/>
  <c r="J105" i="113"/>
  <c r="K105" i="113"/>
  <c r="I105" i="113"/>
  <c r="K73" i="113"/>
  <c r="I73" i="113"/>
  <c r="J73" i="113"/>
  <c r="K89" i="113"/>
  <c r="I89" i="113"/>
  <c r="J89" i="113"/>
  <c r="J103" i="113"/>
  <c r="K103" i="113"/>
  <c r="I103" i="113"/>
  <c r="V39" i="113"/>
  <c r="X39" i="113" s="1"/>
  <c r="V35" i="113"/>
  <c r="X35" i="113" s="1"/>
  <c r="V31" i="113"/>
  <c r="X31" i="113" s="1"/>
  <c r="V27" i="113"/>
  <c r="X27" i="113" s="1"/>
  <c r="V23" i="113"/>
  <c r="X23" i="113" s="1"/>
  <c r="V19" i="113"/>
  <c r="X19" i="113" s="1"/>
  <c r="V38" i="113"/>
  <c r="X38" i="113" s="1"/>
  <c r="V34" i="113"/>
  <c r="X34" i="113" s="1"/>
  <c r="V30" i="113"/>
  <c r="X30" i="113" s="1"/>
  <c r="V26" i="113"/>
  <c r="X26" i="113" s="1"/>
  <c r="V22" i="113"/>
  <c r="X22" i="113" s="1"/>
  <c r="V18" i="113"/>
  <c r="X18" i="113" s="1"/>
  <c r="V37" i="113"/>
  <c r="X37" i="113" s="1"/>
  <c r="V33" i="113"/>
  <c r="X33" i="113" s="1"/>
  <c r="V29" i="113"/>
  <c r="X29" i="113" s="1"/>
  <c r="V25" i="113"/>
  <c r="X25" i="113" s="1"/>
  <c r="V21" i="113"/>
  <c r="X21" i="113" s="1"/>
  <c r="V17" i="113"/>
  <c r="X17" i="113" s="1"/>
  <c r="V40" i="113"/>
  <c r="X40" i="113" s="1"/>
  <c r="U97" i="113" s="1"/>
  <c r="V36" i="113"/>
  <c r="X36" i="113" s="1"/>
  <c r="V32" i="113"/>
  <c r="X32" i="113" s="1"/>
  <c r="V28" i="113"/>
  <c r="X28" i="113" s="1"/>
  <c r="V24" i="113"/>
  <c r="X24" i="113" s="1"/>
  <c r="V20" i="113"/>
  <c r="X20" i="113" s="1"/>
  <c r="V16" i="113"/>
  <c r="X16" i="113" s="1"/>
  <c r="J58" i="113"/>
  <c r="U4" i="113"/>
  <c r="V4" i="113" s="1"/>
  <c r="J57" i="113"/>
  <c r="I72" i="113"/>
  <c r="K72" i="113"/>
  <c r="J72" i="113"/>
  <c r="I88" i="113"/>
  <c r="K88" i="113"/>
  <c r="J88" i="113"/>
  <c r="J101" i="113"/>
  <c r="K101" i="113"/>
  <c r="I101" i="113"/>
  <c r="K66" i="113"/>
  <c r="J66" i="113"/>
  <c r="I66" i="113"/>
  <c r="I104" i="113"/>
  <c r="K104" i="113"/>
  <c r="J104" i="113"/>
  <c r="I112" i="113"/>
  <c r="K112" i="113"/>
  <c r="J112" i="113"/>
  <c r="J79" i="113"/>
  <c r="I79" i="113"/>
  <c r="K79" i="113"/>
  <c r="J95" i="113"/>
  <c r="I95" i="113"/>
  <c r="K95" i="113"/>
  <c r="K78" i="113"/>
  <c r="J78" i="113"/>
  <c r="I78" i="113"/>
  <c r="K94" i="113"/>
  <c r="J94" i="113"/>
  <c r="I94" i="113"/>
  <c r="J109" i="113"/>
  <c r="K109" i="113"/>
  <c r="I109" i="113"/>
  <c r="K77" i="113"/>
  <c r="I77" i="113"/>
  <c r="J77" i="113"/>
  <c r="K93" i="113"/>
  <c r="J93" i="113"/>
  <c r="I93" i="113"/>
  <c r="J107" i="113"/>
  <c r="K107" i="113"/>
  <c r="I107" i="113"/>
  <c r="V40" i="112"/>
  <c r="X40" i="112" s="1"/>
  <c r="U97" i="112" s="1"/>
  <c r="V36" i="112"/>
  <c r="X36" i="112" s="1"/>
  <c r="V32" i="112"/>
  <c r="X32" i="112" s="1"/>
  <c r="V28" i="112"/>
  <c r="X28" i="112" s="1"/>
  <c r="V24" i="112"/>
  <c r="X24" i="112" s="1"/>
  <c r="V20" i="112"/>
  <c r="X20" i="112" s="1"/>
  <c r="V16" i="112"/>
  <c r="X16" i="112" s="1"/>
  <c r="V39" i="112"/>
  <c r="X39" i="112" s="1"/>
  <c r="V35" i="112"/>
  <c r="X35" i="112" s="1"/>
  <c r="V31" i="112"/>
  <c r="X31" i="112" s="1"/>
  <c r="V27" i="112"/>
  <c r="X27" i="112" s="1"/>
  <c r="V23" i="112"/>
  <c r="X23" i="112" s="1"/>
  <c r="V19" i="112"/>
  <c r="X19" i="112" s="1"/>
  <c r="V38" i="112"/>
  <c r="X38" i="112" s="1"/>
  <c r="V34" i="112"/>
  <c r="X34" i="112" s="1"/>
  <c r="V30" i="112"/>
  <c r="X30" i="112" s="1"/>
  <c r="V26" i="112"/>
  <c r="X26" i="112" s="1"/>
  <c r="V22" i="112"/>
  <c r="X22" i="112" s="1"/>
  <c r="V18" i="112"/>
  <c r="X18" i="112" s="1"/>
  <c r="V37" i="112"/>
  <c r="X37" i="112" s="1"/>
  <c r="V33" i="112"/>
  <c r="X33" i="112" s="1"/>
  <c r="V29" i="112"/>
  <c r="X29" i="112" s="1"/>
  <c r="V25" i="112"/>
  <c r="X25" i="112" s="1"/>
  <c r="V21" i="112"/>
  <c r="X21" i="112" s="1"/>
  <c r="V17" i="112"/>
  <c r="X17" i="112" s="1"/>
  <c r="J66" i="112"/>
  <c r="I66" i="112"/>
  <c r="K66" i="112"/>
  <c r="K78" i="112"/>
  <c r="J78" i="112"/>
  <c r="I78" i="112"/>
  <c r="K94" i="112"/>
  <c r="J94" i="112"/>
  <c r="I94" i="112"/>
  <c r="I100" i="112"/>
  <c r="K100" i="112"/>
  <c r="J100" i="112"/>
  <c r="I67" i="112"/>
  <c r="J67" i="112"/>
  <c r="K67" i="112"/>
  <c r="I80" i="112"/>
  <c r="J80" i="112"/>
  <c r="K80" i="112"/>
  <c r="I108" i="112"/>
  <c r="K108" i="112"/>
  <c r="J108" i="112"/>
  <c r="J79" i="112"/>
  <c r="I79" i="112"/>
  <c r="K79" i="112"/>
  <c r="I96" i="112"/>
  <c r="K96" i="112"/>
  <c r="J96" i="112"/>
  <c r="J101" i="112"/>
  <c r="K101" i="112"/>
  <c r="I101" i="112"/>
  <c r="K69" i="112"/>
  <c r="J69" i="112"/>
  <c r="I69" i="112"/>
  <c r="K85" i="112"/>
  <c r="J85" i="112"/>
  <c r="I85" i="112"/>
  <c r="J99" i="112"/>
  <c r="K99" i="112"/>
  <c r="I99" i="112"/>
  <c r="K65" i="112"/>
  <c r="J65" i="112"/>
  <c r="I65" i="112"/>
  <c r="K82" i="112"/>
  <c r="J82" i="112"/>
  <c r="I82" i="112"/>
  <c r="I104" i="112"/>
  <c r="K104" i="112"/>
  <c r="J104" i="112"/>
  <c r="K102" i="112"/>
  <c r="I102" i="112"/>
  <c r="J102" i="112"/>
  <c r="I68" i="112"/>
  <c r="J68" i="112"/>
  <c r="K68" i="112"/>
  <c r="I84" i="112"/>
  <c r="J84" i="112"/>
  <c r="K84" i="112"/>
  <c r="K64" i="112"/>
  <c r="I64" i="112"/>
  <c r="J64" i="112"/>
  <c r="J83" i="112"/>
  <c r="I83" i="112"/>
  <c r="K83" i="112"/>
  <c r="K106" i="112"/>
  <c r="I106" i="112"/>
  <c r="J106" i="112"/>
  <c r="J105" i="112"/>
  <c r="K105" i="112"/>
  <c r="I105" i="112"/>
  <c r="K73" i="112"/>
  <c r="J73" i="112"/>
  <c r="I73" i="112"/>
  <c r="K89" i="112"/>
  <c r="J89" i="112"/>
  <c r="I89" i="112"/>
  <c r="J103" i="112"/>
  <c r="K103" i="112"/>
  <c r="I103" i="112"/>
  <c r="U47" i="112"/>
  <c r="U48" i="112"/>
  <c r="J57" i="112"/>
  <c r="U4" i="112"/>
  <c r="V4" i="112" s="1"/>
  <c r="J58" i="112"/>
  <c r="K70" i="112"/>
  <c r="J70" i="112"/>
  <c r="I70" i="112"/>
  <c r="K86" i="112"/>
  <c r="J86" i="112"/>
  <c r="I86" i="112"/>
  <c r="I112" i="112"/>
  <c r="K112" i="112"/>
  <c r="J112" i="112"/>
  <c r="I72" i="112"/>
  <c r="J72" i="112"/>
  <c r="K72" i="112"/>
  <c r="I88" i="112"/>
  <c r="J88" i="112"/>
  <c r="K88" i="112"/>
  <c r="J71" i="112"/>
  <c r="I71" i="112"/>
  <c r="K71" i="112"/>
  <c r="J87" i="112"/>
  <c r="I87" i="112"/>
  <c r="K87" i="112"/>
  <c r="K110" i="112"/>
  <c r="I110" i="112"/>
  <c r="J110" i="112"/>
  <c r="J109" i="112"/>
  <c r="K109" i="112"/>
  <c r="I109" i="112"/>
  <c r="K77" i="112"/>
  <c r="J77" i="112"/>
  <c r="I77" i="112"/>
  <c r="K93" i="112"/>
  <c r="J93" i="112"/>
  <c r="I93" i="112"/>
  <c r="J107" i="112"/>
  <c r="I107" i="112"/>
  <c r="K107" i="112"/>
  <c r="K58" i="112"/>
  <c r="K57" i="112"/>
  <c r="U6" i="112"/>
  <c r="V6" i="112" s="1"/>
  <c r="B33" i="112"/>
  <c r="K74" i="112"/>
  <c r="J74" i="112"/>
  <c r="I74" i="112"/>
  <c r="K90" i="112"/>
  <c r="J90" i="112"/>
  <c r="I90" i="112"/>
  <c r="K98" i="112"/>
  <c r="I98" i="112"/>
  <c r="J98" i="112"/>
  <c r="J63" i="112"/>
  <c r="K63" i="112"/>
  <c r="I63" i="112"/>
  <c r="I76" i="112"/>
  <c r="J76" i="112"/>
  <c r="K76" i="112"/>
  <c r="I92" i="112"/>
  <c r="J92" i="112"/>
  <c r="K92" i="112"/>
  <c r="J75" i="112"/>
  <c r="I75" i="112"/>
  <c r="K75" i="112"/>
  <c r="J91" i="112"/>
  <c r="I91" i="112"/>
  <c r="K91" i="112"/>
  <c r="J95" i="112"/>
  <c r="K95" i="112"/>
  <c r="I95" i="112"/>
  <c r="J113" i="112"/>
  <c r="K113" i="112"/>
  <c r="I113" i="112"/>
  <c r="K81" i="112"/>
  <c r="J81" i="112"/>
  <c r="I81" i="112"/>
  <c r="J97" i="112"/>
  <c r="K97" i="112"/>
  <c r="I97" i="112"/>
  <c r="J111" i="112"/>
  <c r="I111" i="112"/>
  <c r="K111" i="112"/>
  <c r="K66" i="111"/>
  <c r="J66" i="111"/>
  <c r="I66" i="111"/>
  <c r="I72" i="111"/>
  <c r="K72" i="111"/>
  <c r="J72" i="111"/>
  <c r="I88" i="111"/>
  <c r="K88" i="111"/>
  <c r="J88" i="111"/>
  <c r="I112" i="111"/>
  <c r="K112" i="111"/>
  <c r="J112" i="111"/>
  <c r="I64" i="111"/>
  <c r="K64" i="111"/>
  <c r="J64" i="111"/>
  <c r="K78" i="111"/>
  <c r="I78" i="111"/>
  <c r="J78" i="111"/>
  <c r="K94" i="111"/>
  <c r="I94" i="111"/>
  <c r="J94" i="111"/>
  <c r="I108" i="111"/>
  <c r="K108" i="111"/>
  <c r="J108" i="111"/>
  <c r="K106" i="111"/>
  <c r="I106" i="111"/>
  <c r="J106" i="111"/>
  <c r="J79" i="111"/>
  <c r="I79" i="111"/>
  <c r="K79" i="111"/>
  <c r="J95" i="111"/>
  <c r="I95" i="111"/>
  <c r="K95" i="111"/>
  <c r="J113" i="111"/>
  <c r="K113" i="111"/>
  <c r="I113" i="111"/>
  <c r="J81" i="111"/>
  <c r="K81" i="111"/>
  <c r="I81" i="111"/>
  <c r="J97" i="111"/>
  <c r="K97" i="111"/>
  <c r="I97" i="111"/>
  <c r="J111" i="111"/>
  <c r="I111" i="111"/>
  <c r="K111" i="111"/>
  <c r="V39" i="111"/>
  <c r="X39" i="111" s="1"/>
  <c r="V35" i="111"/>
  <c r="X35" i="111" s="1"/>
  <c r="V31" i="111"/>
  <c r="X31" i="111" s="1"/>
  <c r="V27" i="111"/>
  <c r="X27" i="111" s="1"/>
  <c r="V37" i="111"/>
  <c r="X37" i="111" s="1"/>
  <c r="V32" i="111"/>
  <c r="X32" i="111" s="1"/>
  <c r="V26" i="111"/>
  <c r="X26" i="111" s="1"/>
  <c r="V22" i="111"/>
  <c r="X22" i="111" s="1"/>
  <c r="V18" i="111"/>
  <c r="X18" i="111" s="1"/>
  <c r="V36" i="111"/>
  <c r="X36" i="111" s="1"/>
  <c r="V30" i="111"/>
  <c r="X30" i="111" s="1"/>
  <c r="V25" i="111"/>
  <c r="X25" i="111" s="1"/>
  <c r="V21" i="111"/>
  <c r="X21" i="111" s="1"/>
  <c r="V17" i="111"/>
  <c r="X17" i="111" s="1"/>
  <c r="V40" i="111"/>
  <c r="X40" i="111" s="1"/>
  <c r="U97" i="111" s="1"/>
  <c r="V34" i="111"/>
  <c r="X34" i="111" s="1"/>
  <c r="V29" i="111"/>
  <c r="X29" i="111" s="1"/>
  <c r="V24" i="111"/>
  <c r="X24" i="111" s="1"/>
  <c r="V20" i="111"/>
  <c r="X20" i="111" s="1"/>
  <c r="V16" i="111"/>
  <c r="X16" i="111" s="1"/>
  <c r="V38" i="111"/>
  <c r="X38" i="111" s="1"/>
  <c r="V33" i="111"/>
  <c r="X33" i="111" s="1"/>
  <c r="V28" i="111"/>
  <c r="X28" i="111" s="1"/>
  <c r="V23" i="111"/>
  <c r="X23" i="111" s="1"/>
  <c r="V19" i="111"/>
  <c r="X19" i="111" s="1"/>
  <c r="I76" i="111"/>
  <c r="K76" i="111"/>
  <c r="J76" i="111"/>
  <c r="I92" i="111"/>
  <c r="K92" i="111"/>
  <c r="J92" i="111"/>
  <c r="I68" i="111"/>
  <c r="K68" i="111"/>
  <c r="J68" i="111"/>
  <c r="K82" i="111"/>
  <c r="I82" i="111"/>
  <c r="J82" i="111"/>
  <c r="K98" i="111"/>
  <c r="I98" i="111"/>
  <c r="J98" i="111"/>
  <c r="K110" i="111"/>
  <c r="I110" i="111"/>
  <c r="J110" i="111"/>
  <c r="J83" i="111"/>
  <c r="I83" i="111"/>
  <c r="K83" i="111"/>
  <c r="J101" i="111"/>
  <c r="K101" i="111"/>
  <c r="I101" i="111"/>
  <c r="J69" i="111"/>
  <c r="K69" i="111"/>
  <c r="I69" i="111"/>
  <c r="J85" i="111"/>
  <c r="K85" i="111"/>
  <c r="I85" i="111"/>
  <c r="J99" i="111"/>
  <c r="K99" i="111"/>
  <c r="I99" i="111"/>
  <c r="J58" i="111"/>
  <c r="J57" i="111"/>
  <c r="U4" i="111"/>
  <c r="V4" i="111" s="1"/>
  <c r="I80" i="111"/>
  <c r="K80" i="111"/>
  <c r="J80" i="111"/>
  <c r="I96" i="111"/>
  <c r="K96" i="111"/>
  <c r="J96" i="111"/>
  <c r="J63" i="111"/>
  <c r="I63" i="111"/>
  <c r="K63" i="111"/>
  <c r="K70" i="111"/>
  <c r="I70" i="111"/>
  <c r="J70" i="111"/>
  <c r="K86" i="111"/>
  <c r="I86" i="111"/>
  <c r="J86" i="111"/>
  <c r="I100" i="111"/>
  <c r="K100" i="111"/>
  <c r="J100" i="111"/>
  <c r="J71" i="111"/>
  <c r="I71" i="111"/>
  <c r="K71" i="111"/>
  <c r="J87" i="111"/>
  <c r="I87" i="111"/>
  <c r="K87" i="111"/>
  <c r="J105" i="111"/>
  <c r="K105" i="111"/>
  <c r="I105" i="111"/>
  <c r="J73" i="111"/>
  <c r="K73" i="111"/>
  <c r="I73" i="111"/>
  <c r="J89" i="111"/>
  <c r="K89" i="111"/>
  <c r="I89" i="111"/>
  <c r="J103" i="111"/>
  <c r="I103" i="111"/>
  <c r="K103" i="111"/>
  <c r="U47" i="111"/>
  <c r="U48" i="111"/>
  <c r="K58" i="111"/>
  <c r="K57" i="111"/>
  <c r="B33" i="111"/>
  <c r="U6" i="111"/>
  <c r="V6" i="111" s="1"/>
  <c r="I84" i="111"/>
  <c r="K84" i="111"/>
  <c r="J84" i="111"/>
  <c r="I104" i="111"/>
  <c r="K104" i="111"/>
  <c r="J104" i="111"/>
  <c r="J67" i="111"/>
  <c r="I67" i="111"/>
  <c r="K67" i="111"/>
  <c r="K74" i="111"/>
  <c r="I74" i="111"/>
  <c r="J74" i="111"/>
  <c r="K90" i="111"/>
  <c r="I90" i="111"/>
  <c r="J90" i="111"/>
  <c r="K102" i="111"/>
  <c r="I102" i="111"/>
  <c r="J102" i="111"/>
  <c r="K65" i="111"/>
  <c r="J65" i="111"/>
  <c r="I65" i="111"/>
  <c r="J75" i="111"/>
  <c r="I75" i="111"/>
  <c r="K75" i="111"/>
  <c r="J91" i="111"/>
  <c r="I91" i="111"/>
  <c r="K91" i="111"/>
  <c r="J109" i="111"/>
  <c r="K109" i="111"/>
  <c r="I109" i="111"/>
  <c r="J77" i="111"/>
  <c r="K77" i="111"/>
  <c r="I77" i="111"/>
  <c r="J93" i="111"/>
  <c r="K93" i="111"/>
  <c r="I93" i="111"/>
  <c r="J107" i="111"/>
  <c r="I107" i="111"/>
  <c r="K107" i="111"/>
  <c r="J63" i="110"/>
  <c r="K63" i="110"/>
  <c r="I63" i="110"/>
  <c r="K58" i="110"/>
  <c r="K57" i="110"/>
  <c r="B33" i="110"/>
  <c r="U6" i="110"/>
  <c r="V6" i="110" s="1"/>
  <c r="J65" i="110"/>
  <c r="I65" i="110"/>
  <c r="K65" i="110"/>
  <c r="K82" i="110"/>
  <c r="J82" i="110"/>
  <c r="I82" i="110"/>
  <c r="K98" i="110"/>
  <c r="J98" i="110"/>
  <c r="I98" i="110"/>
  <c r="I72" i="110"/>
  <c r="J72" i="110"/>
  <c r="K72" i="110"/>
  <c r="I88" i="110"/>
  <c r="J88" i="110"/>
  <c r="K88" i="110"/>
  <c r="I108" i="110"/>
  <c r="K108" i="110"/>
  <c r="J108" i="110"/>
  <c r="J83" i="110"/>
  <c r="I83" i="110"/>
  <c r="K83" i="110"/>
  <c r="K102" i="110"/>
  <c r="J102" i="110"/>
  <c r="I102" i="110"/>
  <c r="J109" i="110"/>
  <c r="K109" i="110"/>
  <c r="I109" i="110"/>
  <c r="K77" i="110"/>
  <c r="J77" i="110"/>
  <c r="I77" i="110"/>
  <c r="K93" i="110"/>
  <c r="J93" i="110"/>
  <c r="I93" i="110"/>
  <c r="J107" i="110"/>
  <c r="I107" i="110"/>
  <c r="K107" i="110"/>
  <c r="J67" i="110"/>
  <c r="K67" i="110"/>
  <c r="I67" i="110"/>
  <c r="U4" i="110"/>
  <c r="V4" i="110" s="1"/>
  <c r="J58" i="110"/>
  <c r="J57" i="110"/>
  <c r="K70" i="110"/>
  <c r="J70" i="110"/>
  <c r="I70" i="110"/>
  <c r="K86" i="110"/>
  <c r="J86" i="110"/>
  <c r="I86" i="110"/>
  <c r="I104" i="110"/>
  <c r="K104" i="110"/>
  <c r="J104" i="110"/>
  <c r="I76" i="110"/>
  <c r="J76" i="110"/>
  <c r="K76" i="110"/>
  <c r="I92" i="110"/>
  <c r="J92" i="110"/>
  <c r="K92" i="110"/>
  <c r="J71" i="110"/>
  <c r="I71" i="110"/>
  <c r="K71" i="110"/>
  <c r="J87" i="110"/>
  <c r="K87" i="110"/>
  <c r="I87" i="110"/>
  <c r="K106" i="110"/>
  <c r="I106" i="110"/>
  <c r="J106" i="110"/>
  <c r="J113" i="110"/>
  <c r="K113" i="110"/>
  <c r="I113" i="110"/>
  <c r="K81" i="110"/>
  <c r="J81" i="110"/>
  <c r="I81" i="110"/>
  <c r="K97" i="110"/>
  <c r="J97" i="110"/>
  <c r="I97" i="110"/>
  <c r="J111" i="110"/>
  <c r="I111" i="110"/>
  <c r="K111" i="110"/>
  <c r="I68" i="110"/>
  <c r="J68" i="110"/>
  <c r="K68" i="110"/>
  <c r="K74" i="110"/>
  <c r="J74" i="110"/>
  <c r="I74" i="110"/>
  <c r="K90" i="110"/>
  <c r="J90" i="110"/>
  <c r="I90" i="110"/>
  <c r="I112" i="110"/>
  <c r="K112" i="110"/>
  <c r="J112" i="110"/>
  <c r="I80" i="110"/>
  <c r="J80" i="110"/>
  <c r="K80" i="110"/>
  <c r="I96" i="110"/>
  <c r="J96" i="110"/>
  <c r="K96" i="110"/>
  <c r="J75" i="110"/>
  <c r="I75" i="110"/>
  <c r="K75" i="110"/>
  <c r="J91" i="110"/>
  <c r="K91" i="110"/>
  <c r="I91" i="110"/>
  <c r="K110" i="110"/>
  <c r="I110" i="110"/>
  <c r="J110" i="110"/>
  <c r="K69" i="110"/>
  <c r="J69" i="110"/>
  <c r="I69" i="110"/>
  <c r="K85" i="110"/>
  <c r="J85" i="110"/>
  <c r="I85" i="110"/>
  <c r="I99" i="110"/>
  <c r="K99" i="110"/>
  <c r="J99" i="110"/>
  <c r="K66" i="110"/>
  <c r="J66" i="110"/>
  <c r="I66" i="110"/>
  <c r="I64" i="110"/>
  <c r="K64" i="110"/>
  <c r="J64" i="110"/>
  <c r="K78" i="110"/>
  <c r="J78" i="110"/>
  <c r="I78" i="110"/>
  <c r="K94" i="110"/>
  <c r="J94" i="110"/>
  <c r="I94" i="110"/>
  <c r="J101" i="110"/>
  <c r="K101" i="110"/>
  <c r="I101" i="110"/>
  <c r="I84" i="110"/>
  <c r="J84" i="110"/>
  <c r="K84" i="110"/>
  <c r="I100" i="110"/>
  <c r="J100" i="110"/>
  <c r="K100" i="110"/>
  <c r="J79" i="110"/>
  <c r="I79" i="110"/>
  <c r="K79" i="110"/>
  <c r="J95" i="110"/>
  <c r="K95" i="110"/>
  <c r="I95" i="110"/>
  <c r="J105" i="110"/>
  <c r="K105" i="110"/>
  <c r="I105" i="110"/>
  <c r="K73" i="110"/>
  <c r="J73" i="110"/>
  <c r="I73" i="110"/>
  <c r="K89" i="110"/>
  <c r="J89" i="110"/>
  <c r="I89" i="110"/>
  <c r="J103" i="110"/>
  <c r="I103" i="110"/>
  <c r="K103" i="110"/>
  <c r="T94" i="109"/>
  <c r="W38" i="109"/>
  <c r="T95" i="109"/>
  <c r="T56" i="109"/>
  <c r="T57" i="109"/>
  <c r="W19" i="109"/>
  <c r="I68" i="109"/>
  <c r="J68" i="109"/>
  <c r="K68" i="109"/>
  <c r="I84" i="109"/>
  <c r="J84" i="109"/>
  <c r="K84" i="109"/>
  <c r="I100" i="109"/>
  <c r="K100" i="109"/>
  <c r="J100" i="109"/>
  <c r="K65" i="109"/>
  <c r="J65" i="109"/>
  <c r="I65" i="109"/>
  <c r="K82" i="109"/>
  <c r="J82" i="109"/>
  <c r="I82" i="109"/>
  <c r="I96" i="109"/>
  <c r="J96" i="109"/>
  <c r="K96" i="109"/>
  <c r="J75" i="109"/>
  <c r="I75" i="109"/>
  <c r="K75" i="109"/>
  <c r="J91" i="109"/>
  <c r="I91" i="109"/>
  <c r="K91" i="109"/>
  <c r="K106" i="109"/>
  <c r="I106" i="109"/>
  <c r="J106" i="109"/>
  <c r="J109" i="109"/>
  <c r="K109" i="109"/>
  <c r="I109" i="109"/>
  <c r="K77" i="109"/>
  <c r="I77" i="109"/>
  <c r="J77" i="109"/>
  <c r="K93" i="109"/>
  <c r="I93" i="109"/>
  <c r="J93" i="109"/>
  <c r="J107" i="109"/>
  <c r="I107" i="109"/>
  <c r="K107" i="109"/>
  <c r="W20" i="109"/>
  <c r="T63" i="109"/>
  <c r="W22" i="109"/>
  <c r="T62" i="109"/>
  <c r="T83" i="109"/>
  <c r="T82" i="109"/>
  <c r="W32" i="109"/>
  <c r="I72" i="109"/>
  <c r="J72" i="109"/>
  <c r="K72" i="109"/>
  <c r="I88" i="109"/>
  <c r="J88" i="109"/>
  <c r="K88" i="109"/>
  <c r="K58" i="109"/>
  <c r="K57" i="109"/>
  <c r="B33" i="109"/>
  <c r="U6" i="109"/>
  <c r="V6" i="109" s="1"/>
  <c r="I64" i="109"/>
  <c r="J64" i="109"/>
  <c r="K64" i="109"/>
  <c r="I108" i="109"/>
  <c r="K108" i="109"/>
  <c r="J108" i="109"/>
  <c r="K70" i="109"/>
  <c r="J70" i="109"/>
  <c r="I70" i="109"/>
  <c r="K86" i="109"/>
  <c r="J86" i="109"/>
  <c r="I86" i="109"/>
  <c r="I104" i="109"/>
  <c r="K104" i="109"/>
  <c r="J104" i="109"/>
  <c r="J79" i="109"/>
  <c r="I79" i="109"/>
  <c r="K79" i="109"/>
  <c r="J95" i="109"/>
  <c r="K95" i="109"/>
  <c r="I95" i="109"/>
  <c r="K110" i="109"/>
  <c r="I110" i="109"/>
  <c r="J110" i="109"/>
  <c r="J113" i="109"/>
  <c r="K113" i="109"/>
  <c r="I113" i="109"/>
  <c r="K81" i="109"/>
  <c r="I81" i="109"/>
  <c r="J81" i="109"/>
  <c r="I97" i="109"/>
  <c r="K97" i="109"/>
  <c r="J97" i="109"/>
  <c r="J111" i="109"/>
  <c r="I111" i="109"/>
  <c r="K111" i="109"/>
  <c r="W23" i="109"/>
  <c r="T68" i="109"/>
  <c r="T69" i="109"/>
  <c r="W25" i="109"/>
  <c r="I76" i="109"/>
  <c r="J76" i="109"/>
  <c r="K76" i="109"/>
  <c r="I92" i="109"/>
  <c r="J92" i="109"/>
  <c r="K92" i="109"/>
  <c r="J63" i="109"/>
  <c r="K63" i="109"/>
  <c r="I63" i="109"/>
  <c r="K74" i="109"/>
  <c r="J74" i="109"/>
  <c r="I74" i="109"/>
  <c r="K90" i="109"/>
  <c r="J90" i="109"/>
  <c r="I90" i="109"/>
  <c r="I112" i="109"/>
  <c r="K112" i="109"/>
  <c r="J112" i="109"/>
  <c r="J83" i="109"/>
  <c r="I83" i="109"/>
  <c r="K83" i="109"/>
  <c r="K98" i="109"/>
  <c r="I98" i="109"/>
  <c r="J98" i="109"/>
  <c r="J101" i="109"/>
  <c r="K101" i="109"/>
  <c r="I101" i="109"/>
  <c r="K69" i="109"/>
  <c r="I69" i="109"/>
  <c r="J69" i="109"/>
  <c r="K85" i="109"/>
  <c r="I85" i="109"/>
  <c r="J85" i="109"/>
  <c r="J99" i="109"/>
  <c r="I99" i="109"/>
  <c r="K99" i="109"/>
  <c r="V16" i="109" a="1"/>
  <c r="T96" i="109"/>
  <c r="T97" i="109"/>
  <c r="W39" i="109"/>
  <c r="T76" i="109"/>
  <c r="W29" i="109"/>
  <c r="T77" i="109"/>
  <c r="T75" i="109"/>
  <c r="T74" i="109"/>
  <c r="W28" i="109"/>
  <c r="K66" i="109"/>
  <c r="J66" i="109"/>
  <c r="I66" i="109"/>
  <c r="I80" i="109"/>
  <c r="J80" i="109"/>
  <c r="K80" i="109"/>
  <c r="U4" i="109"/>
  <c r="V4" i="109" s="1"/>
  <c r="J58" i="109"/>
  <c r="J57" i="109"/>
  <c r="J67" i="109"/>
  <c r="K67" i="109"/>
  <c r="I67" i="109"/>
  <c r="K78" i="109"/>
  <c r="J78" i="109"/>
  <c r="I78" i="109"/>
  <c r="K94" i="109"/>
  <c r="J94" i="109"/>
  <c r="I94" i="109"/>
  <c r="J71" i="109"/>
  <c r="I71" i="109"/>
  <c r="K71" i="109"/>
  <c r="J87" i="109"/>
  <c r="I87" i="109"/>
  <c r="K87" i="109"/>
  <c r="K102" i="109"/>
  <c r="I102" i="109"/>
  <c r="J102" i="109"/>
  <c r="J105" i="109"/>
  <c r="K105" i="109"/>
  <c r="I105" i="109"/>
  <c r="K73" i="109"/>
  <c r="I73" i="109"/>
  <c r="J73" i="109"/>
  <c r="K89" i="109"/>
  <c r="I89" i="109"/>
  <c r="J89" i="109"/>
  <c r="J103" i="109"/>
  <c r="I103" i="109"/>
  <c r="K103" i="109"/>
  <c r="V15" i="109"/>
  <c r="X15" i="109" s="1"/>
  <c r="W33" i="109"/>
  <c r="T71" i="109"/>
  <c r="T70" i="109"/>
  <c r="W26" i="109"/>
  <c r="T87" i="109"/>
  <c r="T86" i="109"/>
  <c r="W34" i="109"/>
  <c r="U4" i="108"/>
  <c r="V4" i="108" s="1"/>
  <c r="J58" i="108"/>
  <c r="J57" i="108"/>
  <c r="I68" i="108"/>
  <c r="J68" i="108"/>
  <c r="K68" i="108"/>
  <c r="I84" i="108"/>
  <c r="J84" i="108"/>
  <c r="K84" i="108"/>
  <c r="K66" i="108"/>
  <c r="I66" i="108"/>
  <c r="J66" i="108"/>
  <c r="K70" i="108"/>
  <c r="J70" i="108"/>
  <c r="I70" i="108"/>
  <c r="K86" i="108"/>
  <c r="J86" i="108"/>
  <c r="I86" i="108"/>
  <c r="I112" i="108"/>
  <c r="K112" i="108"/>
  <c r="J112" i="108"/>
  <c r="J79" i="108"/>
  <c r="I79" i="108"/>
  <c r="K79" i="108"/>
  <c r="J95" i="108"/>
  <c r="I95" i="108"/>
  <c r="K95" i="108"/>
  <c r="K106" i="108"/>
  <c r="I106" i="108"/>
  <c r="J106" i="108"/>
  <c r="J109" i="108"/>
  <c r="K109" i="108"/>
  <c r="I109" i="108"/>
  <c r="K77" i="108"/>
  <c r="I77" i="108"/>
  <c r="J77" i="108"/>
  <c r="K93" i="108"/>
  <c r="I93" i="108"/>
  <c r="J93" i="108"/>
  <c r="J107" i="108"/>
  <c r="I107" i="108"/>
  <c r="K107" i="108"/>
  <c r="V38" i="108"/>
  <c r="X38" i="108" s="1"/>
  <c r="V34" i="108"/>
  <c r="X34" i="108" s="1"/>
  <c r="V30" i="108"/>
  <c r="X30" i="108" s="1"/>
  <c r="V26" i="108"/>
  <c r="X26" i="108" s="1"/>
  <c r="V22" i="108"/>
  <c r="X22" i="108" s="1"/>
  <c r="V18" i="108"/>
  <c r="X18" i="108" s="1"/>
  <c r="V37" i="108"/>
  <c r="X37" i="108" s="1"/>
  <c r="V33" i="108"/>
  <c r="X33" i="108" s="1"/>
  <c r="V29" i="108"/>
  <c r="X29" i="108" s="1"/>
  <c r="V25" i="108"/>
  <c r="X25" i="108" s="1"/>
  <c r="V21" i="108"/>
  <c r="X21" i="108" s="1"/>
  <c r="V17" i="108"/>
  <c r="X17" i="108" s="1"/>
  <c r="V40" i="108"/>
  <c r="X40" i="108" s="1"/>
  <c r="U97" i="108" s="1"/>
  <c r="V36" i="108"/>
  <c r="X36" i="108" s="1"/>
  <c r="V32" i="108"/>
  <c r="X32" i="108" s="1"/>
  <c r="V28" i="108"/>
  <c r="X28" i="108" s="1"/>
  <c r="V24" i="108"/>
  <c r="X24" i="108" s="1"/>
  <c r="V20" i="108"/>
  <c r="X20" i="108" s="1"/>
  <c r="V16" i="108"/>
  <c r="X16" i="108" s="1"/>
  <c r="V39" i="108"/>
  <c r="X39" i="108" s="1"/>
  <c r="V35" i="108"/>
  <c r="X35" i="108" s="1"/>
  <c r="V31" i="108"/>
  <c r="X31" i="108" s="1"/>
  <c r="V27" i="108"/>
  <c r="X27" i="108" s="1"/>
  <c r="V23" i="108"/>
  <c r="X23" i="108" s="1"/>
  <c r="V19" i="108"/>
  <c r="X19" i="108" s="1"/>
  <c r="I72" i="108"/>
  <c r="J72" i="108"/>
  <c r="K72" i="108"/>
  <c r="I88" i="108"/>
  <c r="J88" i="108"/>
  <c r="K88" i="108"/>
  <c r="K58" i="108"/>
  <c r="K57" i="108"/>
  <c r="B33" i="108"/>
  <c r="U6" i="108"/>
  <c r="V6" i="108" s="1"/>
  <c r="K74" i="108"/>
  <c r="J74" i="108"/>
  <c r="I74" i="108"/>
  <c r="K90" i="108"/>
  <c r="J90" i="108"/>
  <c r="I90" i="108"/>
  <c r="I108" i="108"/>
  <c r="K108" i="108"/>
  <c r="J108" i="108"/>
  <c r="J83" i="108"/>
  <c r="I83" i="108"/>
  <c r="K83" i="108"/>
  <c r="K98" i="108"/>
  <c r="I98" i="108"/>
  <c r="J98" i="108"/>
  <c r="K110" i="108"/>
  <c r="I110" i="108"/>
  <c r="J110" i="108"/>
  <c r="J113" i="108"/>
  <c r="K113" i="108"/>
  <c r="I113" i="108"/>
  <c r="K81" i="108"/>
  <c r="I81" i="108"/>
  <c r="J81" i="108"/>
  <c r="K97" i="108"/>
  <c r="I97" i="108"/>
  <c r="J97" i="108"/>
  <c r="J111" i="108"/>
  <c r="I111" i="108"/>
  <c r="K111" i="108"/>
  <c r="I64" i="108"/>
  <c r="K64" i="108"/>
  <c r="J64" i="108"/>
  <c r="I76" i="108"/>
  <c r="J76" i="108"/>
  <c r="K76" i="108"/>
  <c r="I92" i="108"/>
  <c r="J92" i="108"/>
  <c r="K92" i="108"/>
  <c r="J63" i="108"/>
  <c r="K63" i="108"/>
  <c r="I63" i="108"/>
  <c r="K78" i="108"/>
  <c r="J78" i="108"/>
  <c r="I78" i="108"/>
  <c r="K94" i="108"/>
  <c r="J94" i="108"/>
  <c r="I94" i="108"/>
  <c r="J71" i="108"/>
  <c r="I71" i="108"/>
  <c r="K71" i="108"/>
  <c r="J87" i="108"/>
  <c r="I87" i="108"/>
  <c r="K87" i="108"/>
  <c r="I100" i="108"/>
  <c r="K100" i="108"/>
  <c r="J100" i="108"/>
  <c r="J101" i="108"/>
  <c r="I101" i="108"/>
  <c r="K101" i="108"/>
  <c r="K69" i="108"/>
  <c r="I69" i="108"/>
  <c r="J69" i="108"/>
  <c r="K85" i="108"/>
  <c r="I85" i="108"/>
  <c r="J85" i="108"/>
  <c r="J99" i="108"/>
  <c r="I99" i="108"/>
  <c r="K99" i="108"/>
  <c r="U48" i="108"/>
  <c r="U47" i="108"/>
  <c r="I67" i="108"/>
  <c r="J67" i="108"/>
  <c r="K67" i="108"/>
  <c r="I80" i="108"/>
  <c r="J80" i="108"/>
  <c r="K80" i="108"/>
  <c r="I96" i="108"/>
  <c r="J96" i="108"/>
  <c r="K96" i="108"/>
  <c r="I65" i="108"/>
  <c r="K65" i="108"/>
  <c r="J65" i="108"/>
  <c r="K82" i="108"/>
  <c r="J82" i="108"/>
  <c r="I82" i="108"/>
  <c r="I104" i="108"/>
  <c r="K104" i="108"/>
  <c r="J104" i="108"/>
  <c r="J75" i="108"/>
  <c r="I75" i="108"/>
  <c r="K75" i="108"/>
  <c r="J91" i="108"/>
  <c r="I91" i="108"/>
  <c r="K91" i="108"/>
  <c r="K102" i="108"/>
  <c r="I102" i="108"/>
  <c r="J102" i="108"/>
  <c r="J105" i="108"/>
  <c r="K105" i="108"/>
  <c r="I105" i="108"/>
  <c r="K73" i="108"/>
  <c r="I73" i="108"/>
  <c r="J73" i="108"/>
  <c r="K89" i="108"/>
  <c r="I89" i="108"/>
  <c r="J89" i="108"/>
  <c r="J103" i="108"/>
  <c r="I103" i="108"/>
  <c r="K103" i="108"/>
  <c r="J77" i="107"/>
  <c r="I77" i="107"/>
  <c r="K77" i="107"/>
  <c r="J58" i="107"/>
  <c r="J57" i="107"/>
  <c r="U4" i="107"/>
  <c r="V4" i="107" s="1"/>
  <c r="I104" i="107"/>
  <c r="K104" i="107"/>
  <c r="J104" i="107"/>
  <c r="I68" i="107"/>
  <c r="K68" i="107"/>
  <c r="J68" i="107"/>
  <c r="J73" i="107"/>
  <c r="I73" i="107"/>
  <c r="K73" i="107"/>
  <c r="J99" i="107"/>
  <c r="I99" i="107"/>
  <c r="K99" i="107"/>
  <c r="J111" i="107"/>
  <c r="I111" i="107"/>
  <c r="K111" i="107"/>
  <c r="J95" i="107"/>
  <c r="K95" i="107"/>
  <c r="I95" i="107"/>
  <c r="I76" i="107"/>
  <c r="K76" i="107"/>
  <c r="J76" i="107"/>
  <c r="K82" i="107"/>
  <c r="I82" i="107"/>
  <c r="J82" i="107"/>
  <c r="J109" i="107"/>
  <c r="I109" i="107"/>
  <c r="K109" i="107"/>
  <c r="I88" i="107"/>
  <c r="K88" i="107"/>
  <c r="J88" i="107"/>
  <c r="K94" i="107"/>
  <c r="I94" i="107"/>
  <c r="J94" i="107"/>
  <c r="J105" i="107"/>
  <c r="I105" i="107"/>
  <c r="K105" i="107"/>
  <c r="J97" i="107"/>
  <c r="I97" i="107"/>
  <c r="K97" i="107"/>
  <c r="J79" i="107"/>
  <c r="K79" i="107"/>
  <c r="I79" i="107"/>
  <c r="K67" i="107"/>
  <c r="J67" i="107"/>
  <c r="I67" i="107"/>
  <c r="J107" i="107"/>
  <c r="I107" i="107"/>
  <c r="K107" i="107"/>
  <c r="J91" i="107"/>
  <c r="K91" i="107"/>
  <c r="I91" i="107"/>
  <c r="I72" i="107"/>
  <c r="K72" i="107"/>
  <c r="J72" i="107"/>
  <c r="K78" i="107"/>
  <c r="I78" i="107"/>
  <c r="J78" i="107"/>
  <c r="J103" i="107"/>
  <c r="I103" i="107"/>
  <c r="K103" i="107"/>
  <c r="J87" i="107"/>
  <c r="K87" i="107"/>
  <c r="I87" i="107"/>
  <c r="J81" i="107"/>
  <c r="I81" i="107"/>
  <c r="K81" i="107"/>
  <c r="K58" i="107"/>
  <c r="U6" i="107"/>
  <c r="V6" i="107" s="1"/>
  <c r="K57" i="107"/>
  <c r="B33" i="107"/>
  <c r="K106" i="107"/>
  <c r="I106" i="107"/>
  <c r="J106" i="107"/>
  <c r="J93" i="107"/>
  <c r="I93" i="107"/>
  <c r="K93" i="107"/>
  <c r="J75" i="107"/>
  <c r="K75" i="107"/>
  <c r="I75" i="107"/>
  <c r="I112" i="107"/>
  <c r="K112" i="107"/>
  <c r="J112" i="107"/>
  <c r="K63" i="107"/>
  <c r="J63" i="107"/>
  <c r="I63" i="107"/>
  <c r="J89" i="107"/>
  <c r="I89" i="107"/>
  <c r="K89" i="107"/>
  <c r="J71" i="107"/>
  <c r="K71" i="107"/>
  <c r="I71" i="107"/>
  <c r="J113" i="107"/>
  <c r="I113" i="107"/>
  <c r="K113" i="107"/>
  <c r="I92" i="107"/>
  <c r="K92" i="107"/>
  <c r="J92" i="107"/>
  <c r="K98" i="107"/>
  <c r="I98" i="107"/>
  <c r="J98" i="107"/>
  <c r="J58" i="106"/>
  <c r="U4" i="106"/>
  <c r="V4" i="106" s="1"/>
  <c r="J57" i="106"/>
  <c r="I68" i="106"/>
  <c r="K68" i="106"/>
  <c r="J68" i="106"/>
  <c r="K82" i="106"/>
  <c r="I82" i="106"/>
  <c r="J82" i="106"/>
  <c r="K98" i="106"/>
  <c r="I98" i="106"/>
  <c r="J98" i="106"/>
  <c r="K106" i="106"/>
  <c r="I106" i="106"/>
  <c r="J106" i="106"/>
  <c r="I64" i="106"/>
  <c r="J64" i="106"/>
  <c r="K64" i="106"/>
  <c r="I80" i="106"/>
  <c r="K80" i="106"/>
  <c r="J80" i="106"/>
  <c r="I96" i="106"/>
  <c r="K96" i="106"/>
  <c r="J96" i="106"/>
  <c r="J83" i="106"/>
  <c r="K83" i="106"/>
  <c r="I83" i="106"/>
  <c r="J101" i="106"/>
  <c r="K101" i="106"/>
  <c r="I101" i="106"/>
  <c r="J69" i="106"/>
  <c r="K69" i="106"/>
  <c r="I69" i="106"/>
  <c r="J85" i="106"/>
  <c r="K85" i="106"/>
  <c r="I85" i="106"/>
  <c r="J99" i="106"/>
  <c r="K99" i="106"/>
  <c r="I99" i="106"/>
  <c r="U48" i="106"/>
  <c r="U47" i="106"/>
  <c r="K58" i="106"/>
  <c r="K57" i="106"/>
  <c r="B33" i="106"/>
  <c r="U6" i="106"/>
  <c r="V6" i="106" s="1"/>
  <c r="K70" i="106"/>
  <c r="I70" i="106"/>
  <c r="J70" i="106"/>
  <c r="K86" i="106"/>
  <c r="I86" i="106"/>
  <c r="J86" i="106"/>
  <c r="I100" i="106"/>
  <c r="K100" i="106"/>
  <c r="J100" i="106"/>
  <c r="I108" i="106"/>
  <c r="K108" i="106"/>
  <c r="J108" i="106"/>
  <c r="K65" i="106"/>
  <c r="J65" i="106"/>
  <c r="I65" i="106"/>
  <c r="I84" i="106"/>
  <c r="K84" i="106"/>
  <c r="J84" i="106"/>
  <c r="J71" i="106"/>
  <c r="K71" i="106"/>
  <c r="I71" i="106"/>
  <c r="J87" i="106"/>
  <c r="K87" i="106"/>
  <c r="I87" i="106"/>
  <c r="J105" i="106"/>
  <c r="K105" i="106"/>
  <c r="I105" i="106"/>
  <c r="J73" i="106"/>
  <c r="K73" i="106"/>
  <c r="I73" i="106"/>
  <c r="J89" i="106"/>
  <c r="K89" i="106"/>
  <c r="I89" i="106"/>
  <c r="J103" i="106"/>
  <c r="K103" i="106"/>
  <c r="I103" i="106"/>
  <c r="K66" i="106"/>
  <c r="J66" i="106"/>
  <c r="I66" i="106"/>
  <c r="K74" i="106"/>
  <c r="I74" i="106"/>
  <c r="J74" i="106"/>
  <c r="K90" i="106"/>
  <c r="I90" i="106"/>
  <c r="J90" i="106"/>
  <c r="K102" i="106"/>
  <c r="I102" i="106"/>
  <c r="J102" i="106"/>
  <c r="K110" i="106"/>
  <c r="I110" i="106"/>
  <c r="J110" i="106"/>
  <c r="I72" i="106"/>
  <c r="K72" i="106"/>
  <c r="J72" i="106"/>
  <c r="I88" i="106"/>
  <c r="K88" i="106"/>
  <c r="J88" i="106"/>
  <c r="J75" i="106"/>
  <c r="K75" i="106"/>
  <c r="I75" i="106"/>
  <c r="J91" i="106"/>
  <c r="K91" i="106"/>
  <c r="I91" i="106"/>
  <c r="J109" i="106"/>
  <c r="K109" i="106"/>
  <c r="I109" i="106"/>
  <c r="J77" i="106"/>
  <c r="K77" i="106"/>
  <c r="I77" i="106"/>
  <c r="J93" i="106"/>
  <c r="K93" i="106"/>
  <c r="I93" i="106"/>
  <c r="J107" i="106"/>
  <c r="K107" i="106"/>
  <c r="I107" i="106"/>
  <c r="J63" i="106"/>
  <c r="I63" i="106"/>
  <c r="K63" i="106"/>
  <c r="J67" i="106"/>
  <c r="I67" i="106"/>
  <c r="K67" i="106"/>
  <c r="K78" i="106"/>
  <c r="I78" i="106"/>
  <c r="J78" i="106"/>
  <c r="K94" i="106"/>
  <c r="I94" i="106"/>
  <c r="J94" i="106"/>
  <c r="I104" i="106"/>
  <c r="K104" i="106"/>
  <c r="J104" i="106"/>
  <c r="I112" i="106"/>
  <c r="K112" i="106"/>
  <c r="J112" i="106"/>
  <c r="I76" i="106"/>
  <c r="K76" i="106"/>
  <c r="J76" i="106"/>
  <c r="I92" i="106"/>
  <c r="K92" i="106"/>
  <c r="J92" i="106"/>
  <c r="J79" i="106"/>
  <c r="K79" i="106"/>
  <c r="I79" i="106"/>
  <c r="J95" i="106"/>
  <c r="K95" i="106"/>
  <c r="I95" i="106"/>
  <c r="J113" i="106"/>
  <c r="K113" i="106"/>
  <c r="I113" i="106"/>
  <c r="J81" i="106"/>
  <c r="K81" i="106"/>
  <c r="I81" i="106"/>
  <c r="J97" i="106"/>
  <c r="K97" i="106"/>
  <c r="I97" i="106"/>
  <c r="J111" i="106"/>
  <c r="K111" i="106"/>
  <c r="I111" i="106"/>
  <c r="V39" i="106"/>
  <c r="X39" i="106" s="1"/>
  <c r="V35" i="106"/>
  <c r="X35" i="106" s="1"/>
  <c r="V31" i="106"/>
  <c r="X31" i="106" s="1"/>
  <c r="V27" i="106"/>
  <c r="X27" i="106" s="1"/>
  <c r="V23" i="106"/>
  <c r="X23" i="106" s="1"/>
  <c r="V19" i="106"/>
  <c r="X19" i="106" s="1"/>
  <c r="V38" i="106"/>
  <c r="X38" i="106" s="1"/>
  <c r="V34" i="106"/>
  <c r="X34" i="106" s="1"/>
  <c r="V30" i="106"/>
  <c r="X30" i="106" s="1"/>
  <c r="V26" i="106"/>
  <c r="X26" i="106" s="1"/>
  <c r="V22" i="106"/>
  <c r="X22" i="106" s="1"/>
  <c r="V18" i="106"/>
  <c r="X18" i="106" s="1"/>
  <c r="V37" i="106"/>
  <c r="X37" i="106" s="1"/>
  <c r="V33" i="106"/>
  <c r="X33" i="106" s="1"/>
  <c r="V29" i="106"/>
  <c r="X29" i="106" s="1"/>
  <c r="V25" i="106"/>
  <c r="X25" i="106" s="1"/>
  <c r="V21" i="106"/>
  <c r="X21" i="106" s="1"/>
  <c r="V17" i="106"/>
  <c r="X17" i="106" s="1"/>
  <c r="V40" i="106"/>
  <c r="X40" i="106" s="1"/>
  <c r="U97" i="106" s="1"/>
  <c r="V36" i="106"/>
  <c r="X36" i="106" s="1"/>
  <c r="V32" i="106"/>
  <c r="X32" i="106" s="1"/>
  <c r="V28" i="106"/>
  <c r="X28" i="106" s="1"/>
  <c r="V24" i="106"/>
  <c r="X24" i="106" s="1"/>
  <c r="V20" i="106"/>
  <c r="X20" i="106" s="1"/>
  <c r="V16" i="106"/>
  <c r="X16" i="106" s="1"/>
  <c r="I100" i="105"/>
  <c r="J100" i="105"/>
  <c r="K100" i="105"/>
  <c r="J65" i="105"/>
  <c r="K65" i="105"/>
  <c r="I65" i="105"/>
  <c r="J83" i="105"/>
  <c r="K83" i="105"/>
  <c r="I83" i="105"/>
  <c r="K70" i="105"/>
  <c r="I70" i="105"/>
  <c r="J70" i="105"/>
  <c r="K86" i="105"/>
  <c r="I86" i="105"/>
  <c r="J86" i="105"/>
  <c r="I72" i="105"/>
  <c r="K72" i="105"/>
  <c r="J72" i="105"/>
  <c r="I88" i="105"/>
  <c r="K88" i="105"/>
  <c r="J88" i="105"/>
  <c r="J109" i="105"/>
  <c r="K109" i="105"/>
  <c r="I109" i="105"/>
  <c r="I96" i="105"/>
  <c r="J96" i="105"/>
  <c r="K96" i="105"/>
  <c r="K106" i="105"/>
  <c r="J106" i="105"/>
  <c r="I106" i="105"/>
  <c r="I77" i="105"/>
  <c r="J77" i="105"/>
  <c r="K77" i="105"/>
  <c r="I93" i="105"/>
  <c r="J93" i="105"/>
  <c r="K93" i="105"/>
  <c r="I107" i="105"/>
  <c r="K107" i="105"/>
  <c r="J107" i="105"/>
  <c r="V37" i="105"/>
  <c r="X37" i="105" s="1"/>
  <c r="V33" i="105"/>
  <c r="X33" i="105" s="1"/>
  <c r="V29" i="105"/>
  <c r="X29" i="105" s="1"/>
  <c r="V25" i="105"/>
  <c r="X25" i="105" s="1"/>
  <c r="V21" i="105"/>
  <c r="X21" i="105" s="1"/>
  <c r="V17" i="105"/>
  <c r="X17" i="105" s="1"/>
  <c r="V40" i="105"/>
  <c r="X40" i="105" s="1"/>
  <c r="U97" i="105" s="1"/>
  <c r="V36" i="105"/>
  <c r="X36" i="105" s="1"/>
  <c r="V32" i="105"/>
  <c r="X32" i="105" s="1"/>
  <c r="V28" i="105"/>
  <c r="X28" i="105" s="1"/>
  <c r="V24" i="105"/>
  <c r="X24" i="105" s="1"/>
  <c r="V20" i="105"/>
  <c r="X20" i="105" s="1"/>
  <c r="V16" i="105"/>
  <c r="X16" i="105" s="1"/>
  <c r="V39" i="105"/>
  <c r="X39" i="105" s="1"/>
  <c r="V35" i="105"/>
  <c r="X35" i="105" s="1"/>
  <c r="V31" i="105"/>
  <c r="X31" i="105" s="1"/>
  <c r="V27" i="105"/>
  <c r="X27" i="105" s="1"/>
  <c r="V23" i="105"/>
  <c r="X23" i="105" s="1"/>
  <c r="V19" i="105"/>
  <c r="X19" i="105" s="1"/>
  <c r="V38" i="105"/>
  <c r="X38" i="105" s="1"/>
  <c r="V34" i="105"/>
  <c r="X34" i="105" s="1"/>
  <c r="V30" i="105"/>
  <c r="X30" i="105" s="1"/>
  <c r="V26" i="105"/>
  <c r="X26" i="105" s="1"/>
  <c r="V22" i="105"/>
  <c r="X22" i="105" s="1"/>
  <c r="V18" i="105"/>
  <c r="X18" i="105" s="1"/>
  <c r="I104" i="105"/>
  <c r="J104" i="105"/>
  <c r="K104" i="105"/>
  <c r="J71" i="105"/>
  <c r="K71" i="105"/>
  <c r="I71" i="105"/>
  <c r="J87" i="105"/>
  <c r="K87" i="105"/>
  <c r="I87" i="105"/>
  <c r="K74" i="105"/>
  <c r="I74" i="105"/>
  <c r="J74" i="105"/>
  <c r="K90" i="105"/>
  <c r="I90" i="105"/>
  <c r="J90" i="105"/>
  <c r="I63" i="105"/>
  <c r="K63" i="105"/>
  <c r="J63" i="105"/>
  <c r="I76" i="105"/>
  <c r="K76" i="105"/>
  <c r="J76" i="105"/>
  <c r="I92" i="105"/>
  <c r="K92" i="105"/>
  <c r="J92" i="105"/>
  <c r="J113" i="105"/>
  <c r="K113" i="105"/>
  <c r="I113" i="105"/>
  <c r="K94" i="105"/>
  <c r="J94" i="105"/>
  <c r="I94" i="105"/>
  <c r="K110" i="105"/>
  <c r="J110" i="105"/>
  <c r="I110" i="105"/>
  <c r="I81" i="105"/>
  <c r="J81" i="105"/>
  <c r="K81" i="105"/>
  <c r="I97" i="105"/>
  <c r="J97" i="105"/>
  <c r="K97" i="105"/>
  <c r="I111" i="105"/>
  <c r="K111" i="105"/>
  <c r="J111" i="105"/>
  <c r="U47" i="105"/>
  <c r="U48" i="105"/>
  <c r="B33" i="105"/>
  <c r="U6" i="105"/>
  <c r="V6" i="105" s="1"/>
  <c r="K57" i="105"/>
  <c r="K58" i="105"/>
  <c r="J75" i="105"/>
  <c r="K75" i="105"/>
  <c r="I75" i="105"/>
  <c r="J91" i="105"/>
  <c r="K91" i="105"/>
  <c r="I91" i="105"/>
  <c r="J57" i="105"/>
  <c r="J58" i="105"/>
  <c r="U4" i="105"/>
  <c r="V4" i="105" s="1"/>
  <c r="K78" i="105"/>
  <c r="I78" i="105"/>
  <c r="J78" i="105"/>
  <c r="I67" i="105"/>
  <c r="K67" i="105"/>
  <c r="J67" i="105"/>
  <c r="I80" i="105"/>
  <c r="K80" i="105"/>
  <c r="J80" i="105"/>
  <c r="J101" i="105"/>
  <c r="K101" i="105"/>
  <c r="I101" i="105"/>
  <c r="I108" i="105"/>
  <c r="J108" i="105"/>
  <c r="K108" i="105"/>
  <c r="K98" i="105"/>
  <c r="J98" i="105"/>
  <c r="I98" i="105"/>
  <c r="I69" i="105"/>
  <c r="J69" i="105"/>
  <c r="K69" i="105"/>
  <c r="I85" i="105"/>
  <c r="J85" i="105"/>
  <c r="K85" i="105"/>
  <c r="I99" i="105"/>
  <c r="K99" i="105"/>
  <c r="J99" i="105"/>
  <c r="I66" i="105"/>
  <c r="K66" i="105"/>
  <c r="J66" i="105"/>
  <c r="J79" i="105"/>
  <c r="K79" i="105"/>
  <c r="I79" i="105"/>
  <c r="J95" i="105"/>
  <c r="K95" i="105"/>
  <c r="I95" i="105"/>
  <c r="K64" i="105"/>
  <c r="I64" i="105"/>
  <c r="J64" i="105"/>
  <c r="K82" i="105"/>
  <c r="I82" i="105"/>
  <c r="J82" i="105"/>
  <c r="I68" i="105"/>
  <c r="K68" i="105"/>
  <c r="J68" i="105"/>
  <c r="I84" i="105"/>
  <c r="K84" i="105"/>
  <c r="J84" i="105"/>
  <c r="J105" i="105"/>
  <c r="K105" i="105"/>
  <c r="I105" i="105"/>
  <c r="I112" i="105"/>
  <c r="J112" i="105"/>
  <c r="K112" i="105"/>
  <c r="K102" i="105"/>
  <c r="I102" i="105"/>
  <c r="J102" i="105"/>
  <c r="I73" i="105"/>
  <c r="J73" i="105"/>
  <c r="K73" i="105"/>
  <c r="I89" i="105"/>
  <c r="J89" i="105"/>
  <c r="K89" i="105"/>
  <c r="I103" i="105"/>
  <c r="K103" i="105"/>
  <c r="J103" i="105"/>
  <c r="I67" i="104"/>
  <c r="J67" i="104"/>
  <c r="K67" i="104"/>
  <c r="J58" i="104"/>
  <c r="U4" i="104"/>
  <c r="V4" i="104" s="1"/>
  <c r="J57" i="104"/>
  <c r="K64" i="104"/>
  <c r="J64" i="104"/>
  <c r="I64" i="104"/>
  <c r="J83" i="104"/>
  <c r="K83" i="104"/>
  <c r="I83" i="104"/>
  <c r="I112" i="104"/>
  <c r="K112" i="104"/>
  <c r="J112" i="104"/>
  <c r="K94" i="104"/>
  <c r="J94" i="104"/>
  <c r="I94" i="104"/>
  <c r="J109" i="104"/>
  <c r="K109" i="104"/>
  <c r="I109" i="104"/>
  <c r="I80" i="104"/>
  <c r="K80" i="104"/>
  <c r="J80" i="104"/>
  <c r="I96" i="104"/>
  <c r="K96" i="104"/>
  <c r="J96" i="104"/>
  <c r="K102" i="104"/>
  <c r="J102" i="104"/>
  <c r="I102" i="104"/>
  <c r="J69" i="104"/>
  <c r="I69" i="104"/>
  <c r="K69" i="104"/>
  <c r="J85" i="104"/>
  <c r="I85" i="104"/>
  <c r="K85" i="104"/>
  <c r="I99" i="104"/>
  <c r="J99" i="104"/>
  <c r="K99" i="104"/>
  <c r="K65" i="104"/>
  <c r="J65" i="104"/>
  <c r="I65" i="104"/>
  <c r="K74" i="104"/>
  <c r="J74" i="104"/>
  <c r="I74" i="104"/>
  <c r="J66" i="104"/>
  <c r="K66" i="104"/>
  <c r="I66" i="104"/>
  <c r="J71" i="104"/>
  <c r="K71" i="104"/>
  <c r="I71" i="104"/>
  <c r="J87" i="104"/>
  <c r="K87" i="104"/>
  <c r="I87" i="104"/>
  <c r="K82" i="104"/>
  <c r="J82" i="104"/>
  <c r="I82" i="104"/>
  <c r="K98" i="104"/>
  <c r="J98" i="104"/>
  <c r="I98" i="104"/>
  <c r="I68" i="104"/>
  <c r="J68" i="104"/>
  <c r="K68" i="104"/>
  <c r="I84" i="104"/>
  <c r="K84" i="104"/>
  <c r="J84" i="104"/>
  <c r="I100" i="104"/>
  <c r="J100" i="104"/>
  <c r="K100" i="104"/>
  <c r="K106" i="104"/>
  <c r="J106" i="104"/>
  <c r="I106" i="104"/>
  <c r="J73" i="104"/>
  <c r="I73" i="104"/>
  <c r="K73" i="104"/>
  <c r="J89" i="104"/>
  <c r="I89" i="104"/>
  <c r="K89" i="104"/>
  <c r="I103" i="104"/>
  <c r="J103" i="104"/>
  <c r="K103" i="104"/>
  <c r="K70" i="104"/>
  <c r="J70" i="104"/>
  <c r="I70" i="104"/>
  <c r="K57" i="104"/>
  <c r="K58" i="104"/>
  <c r="U6" i="104"/>
  <c r="V6" i="104" s="1"/>
  <c r="J75" i="104"/>
  <c r="K75" i="104"/>
  <c r="I75" i="104"/>
  <c r="J91" i="104"/>
  <c r="K91" i="104"/>
  <c r="I91" i="104"/>
  <c r="K86" i="104"/>
  <c r="J86" i="104"/>
  <c r="I86" i="104"/>
  <c r="J101" i="104"/>
  <c r="K101" i="104"/>
  <c r="I101" i="104"/>
  <c r="I72" i="104"/>
  <c r="J72" i="104"/>
  <c r="K72" i="104"/>
  <c r="I88" i="104"/>
  <c r="K88" i="104"/>
  <c r="J88" i="104"/>
  <c r="I104" i="104"/>
  <c r="J104" i="104"/>
  <c r="K104" i="104"/>
  <c r="K110" i="104"/>
  <c r="J110" i="104"/>
  <c r="I110" i="104"/>
  <c r="J77" i="104"/>
  <c r="I77" i="104"/>
  <c r="K77" i="104"/>
  <c r="J93" i="104"/>
  <c r="I93" i="104"/>
  <c r="K93" i="104"/>
  <c r="I107" i="104"/>
  <c r="J107" i="104"/>
  <c r="K107" i="104"/>
  <c r="K78" i="104"/>
  <c r="J78" i="104"/>
  <c r="I78" i="104"/>
  <c r="I63" i="104"/>
  <c r="J63" i="104"/>
  <c r="K63" i="104"/>
  <c r="J79" i="104"/>
  <c r="K79" i="104"/>
  <c r="I79" i="104"/>
  <c r="J95" i="104"/>
  <c r="K95" i="104"/>
  <c r="I95" i="104"/>
  <c r="K90" i="104"/>
  <c r="J90" i="104"/>
  <c r="I90" i="104"/>
  <c r="J105" i="104"/>
  <c r="K105" i="104"/>
  <c r="I105" i="104"/>
  <c r="I76" i="104"/>
  <c r="J76" i="104"/>
  <c r="K76" i="104"/>
  <c r="I92" i="104"/>
  <c r="K92" i="104"/>
  <c r="J92" i="104"/>
  <c r="I108" i="104"/>
  <c r="J108" i="104"/>
  <c r="K108" i="104"/>
  <c r="J113" i="104"/>
  <c r="K113" i="104"/>
  <c r="I113" i="104"/>
  <c r="J81" i="104"/>
  <c r="I81" i="104"/>
  <c r="K81" i="104"/>
  <c r="J97" i="104"/>
  <c r="I97" i="104"/>
  <c r="K97" i="104"/>
  <c r="J111" i="104"/>
  <c r="I111" i="104"/>
  <c r="K111" i="104"/>
  <c r="V39" i="102"/>
  <c r="X39" i="102" s="1"/>
  <c r="V37" i="102"/>
  <c r="X37" i="102" s="1"/>
  <c r="V33" i="102"/>
  <c r="X33" i="102" s="1"/>
  <c r="V29" i="102"/>
  <c r="X29" i="102" s="1"/>
  <c r="V25" i="102"/>
  <c r="X25" i="102" s="1"/>
  <c r="V21" i="102"/>
  <c r="X21" i="102" s="1"/>
  <c r="V17" i="102"/>
  <c r="X17" i="102" s="1"/>
  <c r="V36" i="102"/>
  <c r="X36" i="102" s="1"/>
  <c r="V32" i="102"/>
  <c r="X32" i="102" s="1"/>
  <c r="V28" i="102"/>
  <c r="X28" i="102" s="1"/>
  <c r="V24" i="102"/>
  <c r="X24" i="102" s="1"/>
  <c r="V20" i="102"/>
  <c r="X20" i="102" s="1"/>
  <c r="V16" i="102"/>
  <c r="X16" i="102" s="1"/>
  <c r="V40" i="102"/>
  <c r="X40" i="102" s="1"/>
  <c r="U97" i="102" s="1"/>
  <c r="V35" i="102"/>
  <c r="X35" i="102" s="1"/>
  <c r="V31" i="102"/>
  <c r="X31" i="102" s="1"/>
  <c r="V27" i="102"/>
  <c r="X27" i="102" s="1"/>
  <c r="V23" i="102"/>
  <c r="X23" i="102" s="1"/>
  <c r="V19" i="102"/>
  <c r="X19" i="102" s="1"/>
  <c r="V38" i="102"/>
  <c r="X38" i="102" s="1"/>
  <c r="V34" i="102"/>
  <c r="X34" i="102" s="1"/>
  <c r="V30" i="102"/>
  <c r="X30" i="102" s="1"/>
  <c r="V26" i="102"/>
  <c r="X26" i="102" s="1"/>
  <c r="V22" i="102"/>
  <c r="X22" i="102" s="1"/>
  <c r="V18" i="102"/>
  <c r="X18" i="102" s="1"/>
  <c r="I78" i="102"/>
  <c r="K78" i="102"/>
  <c r="J78" i="102"/>
  <c r="K66" i="102"/>
  <c r="J66" i="102"/>
  <c r="I66" i="102"/>
  <c r="K94" i="102"/>
  <c r="I94" i="102"/>
  <c r="J94" i="102"/>
  <c r="I104" i="102"/>
  <c r="K104" i="102"/>
  <c r="J104" i="102"/>
  <c r="I112" i="102"/>
  <c r="K112" i="102"/>
  <c r="J112" i="102"/>
  <c r="J73" i="102"/>
  <c r="I73" i="102"/>
  <c r="K73" i="102"/>
  <c r="K76" i="102"/>
  <c r="I76" i="102"/>
  <c r="J76" i="102"/>
  <c r="I92" i="102"/>
  <c r="K92" i="102"/>
  <c r="J92" i="102"/>
  <c r="K79" i="102"/>
  <c r="I79" i="102"/>
  <c r="J79" i="102"/>
  <c r="J95" i="102"/>
  <c r="K95" i="102"/>
  <c r="I95" i="102"/>
  <c r="J113" i="102"/>
  <c r="K113" i="102"/>
  <c r="I113" i="102"/>
  <c r="J99" i="102"/>
  <c r="K99" i="102"/>
  <c r="I99" i="102"/>
  <c r="U47" i="102"/>
  <c r="U48" i="102"/>
  <c r="J58" i="102"/>
  <c r="J57" i="102"/>
  <c r="U4" i="102"/>
  <c r="V4" i="102" s="1"/>
  <c r="I82" i="102"/>
  <c r="K82" i="102"/>
  <c r="J82" i="102"/>
  <c r="K98" i="102"/>
  <c r="I98" i="102"/>
  <c r="J98" i="102"/>
  <c r="K106" i="102"/>
  <c r="I106" i="102"/>
  <c r="J106" i="102"/>
  <c r="I64" i="102"/>
  <c r="K64" i="102"/>
  <c r="J64" i="102"/>
  <c r="J77" i="102"/>
  <c r="I77" i="102"/>
  <c r="K77" i="102"/>
  <c r="K80" i="102"/>
  <c r="J80" i="102"/>
  <c r="I80" i="102"/>
  <c r="I96" i="102"/>
  <c r="K96" i="102"/>
  <c r="J96" i="102"/>
  <c r="K83" i="102"/>
  <c r="J83" i="102"/>
  <c r="I83" i="102"/>
  <c r="J101" i="102"/>
  <c r="K101" i="102"/>
  <c r="I101" i="102"/>
  <c r="J89" i="102"/>
  <c r="K89" i="102"/>
  <c r="I89" i="102"/>
  <c r="J103" i="102"/>
  <c r="K103" i="102"/>
  <c r="I103" i="102"/>
  <c r="J63" i="102"/>
  <c r="I63" i="102"/>
  <c r="K63" i="102"/>
  <c r="K58" i="102"/>
  <c r="K57" i="102"/>
  <c r="B33" i="102"/>
  <c r="U6" i="102"/>
  <c r="V6" i="102" s="1"/>
  <c r="K86" i="102"/>
  <c r="I86" i="102"/>
  <c r="J86" i="102"/>
  <c r="I100" i="102"/>
  <c r="K100" i="102"/>
  <c r="J100" i="102"/>
  <c r="I108" i="102"/>
  <c r="K108" i="102"/>
  <c r="J108" i="102"/>
  <c r="I68" i="102"/>
  <c r="J68" i="102"/>
  <c r="K68" i="102"/>
  <c r="J81" i="102"/>
  <c r="I81" i="102"/>
  <c r="K81" i="102"/>
  <c r="K65" i="102"/>
  <c r="I65" i="102"/>
  <c r="J65" i="102"/>
  <c r="K84" i="102"/>
  <c r="J84" i="102"/>
  <c r="I84" i="102"/>
  <c r="K71" i="102"/>
  <c r="I71" i="102"/>
  <c r="J71" i="102"/>
  <c r="J87" i="102"/>
  <c r="K87" i="102"/>
  <c r="I87" i="102"/>
  <c r="J105" i="102"/>
  <c r="K105" i="102"/>
  <c r="I105" i="102"/>
  <c r="J93" i="102"/>
  <c r="K93" i="102"/>
  <c r="I93" i="102"/>
  <c r="J107" i="102"/>
  <c r="K107" i="102"/>
  <c r="I107" i="102"/>
  <c r="I70" i="102"/>
  <c r="K70" i="102"/>
  <c r="J70" i="102"/>
  <c r="J67" i="102"/>
  <c r="I67" i="102"/>
  <c r="K67" i="102"/>
  <c r="I74" i="102"/>
  <c r="K74" i="102"/>
  <c r="J74" i="102"/>
  <c r="K90" i="102"/>
  <c r="I90" i="102"/>
  <c r="J90" i="102"/>
  <c r="K102" i="102"/>
  <c r="I102" i="102"/>
  <c r="J102" i="102"/>
  <c r="K110" i="102"/>
  <c r="I110" i="102"/>
  <c r="J110" i="102"/>
  <c r="J69" i="102"/>
  <c r="I69" i="102"/>
  <c r="K69" i="102"/>
  <c r="J85" i="102"/>
  <c r="I85" i="102"/>
  <c r="K85" i="102"/>
  <c r="K72" i="102"/>
  <c r="I72" i="102"/>
  <c r="J72" i="102"/>
  <c r="I88" i="102"/>
  <c r="K88" i="102"/>
  <c r="J88" i="102"/>
  <c r="K75" i="102"/>
  <c r="I75" i="102"/>
  <c r="J75" i="102"/>
  <c r="J91" i="102"/>
  <c r="K91" i="102"/>
  <c r="I91" i="102"/>
  <c r="J109" i="102"/>
  <c r="K109" i="102"/>
  <c r="I109" i="102"/>
  <c r="J97" i="102"/>
  <c r="K97" i="102"/>
  <c r="I97" i="102"/>
  <c r="J111" i="102"/>
  <c r="K111" i="102"/>
  <c r="I111" i="102"/>
  <c r="T76" i="101"/>
  <c r="W29" i="101"/>
  <c r="T77" i="101"/>
  <c r="T55" i="101"/>
  <c r="T54" i="101"/>
  <c r="W18" i="101"/>
  <c r="I71" i="101"/>
  <c r="J71" i="101"/>
  <c r="K71" i="101"/>
  <c r="I106" i="101"/>
  <c r="J106" i="101"/>
  <c r="K106" i="101"/>
  <c r="I65" i="101"/>
  <c r="J65" i="101"/>
  <c r="K65" i="101"/>
  <c r="J107" i="101"/>
  <c r="K107" i="101"/>
  <c r="I107" i="101"/>
  <c r="I82" i="101"/>
  <c r="J82" i="101"/>
  <c r="K82" i="101"/>
  <c r="J97" i="101"/>
  <c r="K97" i="101"/>
  <c r="I97" i="101"/>
  <c r="T65" i="101"/>
  <c r="W23" i="101"/>
  <c r="T64" i="101"/>
  <c r="J103" i="101"/>
  <c r="K103" i="101"/>
  <c r="I103" i="101"/>
  <c r="K92" i="101"/>
  <c r="I92" i="101"/>
  <c r="J92" i="101"/>
  <c r="K63" i="101"/>
  <c r="I63" i="101"/>
  <c r="J63" i="101"/>
  <c r="T72" i="101"/>
  <c r="T73" i="101"/>
  <c r="W27" i="101"/>
  <c r="T48" i="101"/>
  <c r="V15" i="101"/>
  <c r="X15" i="101" s="1"/>
  <c r="T49" i="101"/>
  <c r="V16" i="101" a="1"/>
  <c r="W15" i="101"/>
  <c r="I75" i="101"/>
  <c r="K75" i="101"/>
  <c r="J75" i="101"/>
  <c r="K112" i="101"/>
  <c r="I112" i="101"/>
  <c r="J112" i="101"/>
  <c r="I70" i="101"/>
  <c r="K70" i="101"/>
  <c r="J70" i="101"/>
  <c r="T59" i="101"/>
  <c r="W20" i="101"/>
  <c r="T58" i="101"/>
  <c r="K108" i="101"/>
  <c r="I108" i="101"/>
  <c r="J108" i="101"/>
  <c r="K84" i="101"/>
  <c r="I84" i="101"/>
  <c r="J84" i="101"/>
  <c r="I102" i="101"/>
  <c r="J102" i="101"/>
  <c r="K102" i="101"/>
  <c r="I101" i="101"/>
  <c r="J101" i="101"/>
  <c r="K101" i="101"/>
  <c r="J85" i="101"/>
  <c r="K85" i="101"/>
  <c r="I85" i="101"/>
  <c r="I94" i="101"/>
  <c r="K94" i="101"/>
  <c r="J94" i="101"/>
  <c r="J68" i="101"/>
  <c r="K68" i="101"/>
  <c r="I68" i="101"/>
  <c r="K113" i="101"/>
  <c r="J113" i="101"/>
  <c r="I113" i="101"/>
  <c r="K100" i="101"/>
  <c r="I100" i="101"/>
  <c r="J100" i="101"/>
  <c r="I110" i="101"/>
  <c r="J110" i="101"/>
  <c r="K110" i="101"/>
  <c r="J89" i="101"/>
  <c r="K89" i="101"/>
  <c r="I89" i="101"/>
  <c r="T93" i="101"/>
  <c r="W37" i="101"/>
  <c r="T92" i="101"/>
  <c r="W33" i="101"/>
  <c r="T85" i="101"/>
  <c r="T84" i="101"/>
  <c r="I66" i="101"/>
  <c r="J66" i="101"/>
  <c r="K66" i="101"/>
  <c r="I90" i="101"/>
  <c r="J90" i="101"/>
  <c r="K90" i="101"/>
  <c r="T90" i="101"/>
  <c r="T91" i="101"/>
  <c r="W36" i="101"/>
  <c r="J105" i="101"/>
  <c r="K105" i="101"/>
  <c r="I105" i="101"/>
  <c r="J93" i="101"/>
  <c r="K93" i="101"/>
  <c r="I93" i="101"/>
  <c r="K96" i="101"/>
  <c r="I96" i="101"/>
  <c r="J96" i="101"/>
  <c r="J73" i="101"/>
  <c r="K73" i="101"/>
  <c r="I73" i="101"/>
  <c r="W34" i="101"/>
  <c r="I83" i="101"/>
  <c r="K83" i="101"/>
  <c r="J83" i="101"/>
  <c r="I78" i="101"/>
  <c r="J78" i="101"/>
  <c r="K78" i="101"/>
  <c r="J81" i="101"/>
  <c r="K81" i="101"/>
  <c r="I81" i="101"/>
  <c r="I95" i="101"/>
  <c r="J95" i="101"/>
  <c r="K95" i="101"/>
  <c r="J77" i="101"/>
  <c r="K77" i="101"/>
  <c r="I77" i="101"/>
  <c r="K88" i="101"/>
  <c r="I88" i="101"/>
  <c r="J88" i="101"/>
  <c r="J64" i="101"/>
  <c r="K64" i="101"/>
  <c r="I64" i="101"/>
  <c r="T53" i="101"/>
  <c r="T52" i="101"/>
  <c r="W17" i="101"/>
  <c r="I109" i="101"/>
  <c r="J109" i="101"/>
  <c r="K109" i="101"/>
  <c r="J99" i="101"/>
  <c r="K99" i="101"/>
  <c r="I99" i="101"/>
  <c r="K104" i="101"/>
  <c r="J104" i="101"/>
  <c r="I104" i="101"/>
  <c r="I74" i="101"/>
  <c r="J74" i="101"/>
  <c r="K74" i="101"/>
  <c r="T70" i="101"/>
  <c r="T71" i="101"/>
  <c r="W26" i="101"/>
  <c r="T82" i="101"/>
  <c r="T83" i="101"/>
  <c r="W32" i="101"/>
  <c r="I87" i="101"/>
  <c r="J87" i="101"/>
  <c r="K87" i="101"/>
  <c r="K80" i="101"/>
  <c r="I80" i="101"/>
  <c r="J80" i="101"/>
  <c r="J57" i="101"/>
  <c r="J58" i="101"/>
  <c r="U4" i="101"/>
  <c r="V4" i="101" s="1"/>
  <c r="J111" i="101"/>
  <c r="K111" i="101"/>
  <c r="I111" i="101"/>
  <c r="I98" i="101"/>
  <c r="J98" i="101"/>
  <c r="K98" i="101"/>
  <c r="K67" i="101"/>
  <c r="I67" i="101"/>
  <c r="J67" i="101"/>
  <c r="T78" i="101"/>
  <c r="T79" i="101"/>
  <c r="W30" i="101"/>
  <c r="I79" i="101"/>
  <c r="J79" i="101"/>
  <c r="K79" i="101"/>
  <c r="K72" i="101"/>
  <c r="I72" i="101"/>
  <c r="J72" i="101"/>
  <c r="K76" i="101"/>
  <c r="I76" i="101"/>
  <c r="J76" i="101"/>
  <c r="T94" i="101"/>
  <c r="T95" i="101"/>
  <c r="W38" i="101"/>
  <c r="I91" i="101"/>
  <c r="K91" i="101"/>
  <c r="J91" i="101"/>
  <c r="J69" i="101"/>
  <c r="K69" i="101"/>
  <c r="I69" i="101"/>
  <c r="I86" i="101"/>
  <c r="K86" i="101"/>
  <c r="J86" i="101"/>
  <c r="K58" i="101"/>
  <c r="K57" i="101"/>
  <c r="B33" i="101"/>
  <c r="U6" i="101"/>
  <c r="V6" i="101" s="1"/>
  <c r="K69" i="100"/>
  <c r="I69" i="100"/>
  <c r="J69" i="100"/>
  <c r="J91" i="100"/>
  <c r="I91" i="100"/>
  <c r="K91" i="100"/>
  <c r="K98" i="100"/>
  <c r="I98" i="100"/>
  <c r="J98" i="100"/>
  <c r="J97" i="100"/>
  <c r="I97" i="100"/>
  <c r="K97" i="100"/>
  <c r="K90" i="100"/>
  <c r="J90" i="100"/>
  <c r="I90" i="100"/>
  <c r="J71" i="100"/>
  <c r="I71" i="100"/>
  <c r="K71" i="100"/>
  <c r="J107" i="100"/>
  <c r="I107" i="100"/>
  <c r="K107" i="100"/>
  <c r="K110" i="100"/>
  <c r="I110" i="100"/>
  <c r="J110" i="100"/>
  <c r="J83" i="100"/>
  <c r="I83" i="100"/>
  <c r="K83" i="100"/>
  <c r="K66" i="100"/>
  <c r="J66" i="100"/>
  <c r="I66" i="100"/>
  <c r="V40" i="100"/>
  <c r="X40" i="100" s="1"/>
  <c r="U97" i="100" s="1"/>
  <c r="V36" i="100"/>
  <c r="X36" i="100" s="1"/>
  <c r="V32" i="100"/>
  <c r="X32" i="100" s="1"/>
  <c r="V28" i="100"/>
  <c r="X28" i="100" s="1"/>
  <c r="V24" i="100"/>
  <c r="X24" i="100" s="1"/>
  <c r="V20" i="100"/>
  <c r="X20" i="100" s="1"/>
  <c r="V16" i="100"/>
  <c r="X16" i="100" s="1"/>
  <c r="V39" i="100"/>
  <c r="X39" i="100" s="1"/>
  <c r="V35" i="100"/>
  <c r="X35" i="100" s="1"/>
  <c r="V31" i="100"/>
  <c r="X31" i="100" s="1"/>
  <c r="V27" i="100"/>
  <c r="X27" i="100" s="1"/>
  <c r="V23" i="100"/>
  <c r="X23" i="100" s="1"/>
  <c r="V19" i="100"/>
  <c r="X19" i="100" s="1"/>
  <c r="V38" i="100"/>
  <c r="X38" i="100" s="1"/>
  <c r="V34" i="100"/>
  <c r="X34" i="100" s="1"/>
  <c r="V30" i="100"/>
  <c r="X30" i="100" s="1"/>
  <c r="V26" i="100"/>
  <c r="X26" i="100" s="1"/>
  <c r="V22" i="100"/>
  <c r="X22" i="100" s="1"/>
  <c r="V18" i="100"/>
  <c r="X18" i="100" s="1"/>
  <c r="V37" i="100"/>
  <c r="X37" i="100" s="1"/>
  <c r="V33" i="100"/>
  <c r="X33" i="100" s="1"/>
  <c r="V29" i="100"/>
  <c r="X29" i="100" s="1"/>
  <c r="V25" i="100"/>
  <c r="X25" i="100" s="1"/>
  <c r="V21" i="100"/>
  <c r="X21" i="100" s="1"/>
  <c r="V17" i="100"/>
  <c r="X17" i="100" s="1"/>
  <c r="J105" i="100"/>
  <c r="K105" i="100"/>
  <c r="I105" i="100"/>
  <c r="I96" i="100"/>
  <c r="K96" i="100"/>
  <c r="J96" i="100"/>
  <c r="I100" i="100"/>
  <c r="K100" i="100"/>
  <c r="J100" i="100"/>
  <c r="J101" i="100"/>
  <c r="K101" i="100"/>
  <c r="I101" i="100"/>
  <c r="J75" i="100"/>
  <c r="I75" i="100"/>
  <c r="K75" i="100"/>
  <c r="J58" i="100"/>
  <c r="U4" i="100"/>
  <c r="V4" i="100" s="1"/>
  <c r="J57" i="100"/>
  <c r="K81" i="100"/>
  <c r="J81" i="100"/>
  <c r="I81" i="100"/>
  <c r="K74" i="100"/>
  <c r="J74" i="100"/>
  <c r="I74" i="100"/>
  <c r="I84" i="100"/>
  <c r="K84" i="100"/>
  <c r="J84" i="100"/>
  <c r="J67" i="100"/>
  <c r="I67" i="100"/>
  <c r="K67" i="100"/>
  <c r="J93" i="100"/>
  <c r="I93" i="100"/>
  <c r="K93" i="100"/>
  <c r="K86" i="100"/>
  <c r="J86" i="100"/>
  <c r="I86" i="100"/>
  <c r="I64" i="100"/>
  <c r="J64" i="100"/>
  <c r="K64" i="100"/>
  <c r="I68" i="100"/>
  <c r="K68" i="100"/>
  <c r="J68" i="100"/>
  <c r="J103" i="100"/>
  <c r="I103" i="100"/>
  <c r="K103" i="100"/>
  <c r="K106" i="100"/>
  <c r="I106" i="100"/>
  <c r="J106" i="100"/>
  <c r="J79" i="100"/>
  <c r="I79" i="100"/>
  <c r="K79" i="100"/>
  <c r="K58" i="100"/>
  <c r="B33" i="100"/>
  <c r="U6" i="100"/>
  <c r="V6" i="100" s="1"/>
  <c r="K57" i="100"/>
  <c r="J99" i="100"/>
  <c r="K99" i="100"/>
  <c r="I99" i="100"/>
  <c r="K102" i="100"/>
  <c r="I102" i="100"/>
  <c r="J102" i="100"/>
  <c r="I88" i="100"/>
  <c r="K88" i="100"/>
  <c r="J88" i="100"/>
  <c r="J113" i="100"/>
  <c r="K113" i="100"/>
  <c r="I113" i="100"/>
  <c r="I112" i="100"/>
  <c r="K112" i="100"/>
  <c r="J112" i="100"/>
  <c r="K77" i="100"/>
  <c r="J77" i="100"/>
  <c r="I77" i="100"/>
  <c r="K70" i="100"/>
  <c r="J70" i="100"/>
  <c r="I70" i="100"/>
  <c r="I80" i="100"/>
  <c r="K80" i="100"/>
  <c r="J80" i="100"/>
  <c r="J63" i="100"/>
  <c r="I63" i="100"/>
  <c r="K63" i="100"/>
  <c r="U48" i="100"/>
  <c r="U47" i="100"/>
  <c r="K89" i="100"/>
  <c r="J89" i="100"/>
  <c r="I89" i="100"/>
  <c r="K82" i="100"/>
  <c r="J82" i="100"/>
  <c r="I82" i="100"/>
  <c r="I92" i="100"/>
  <c r="K92" i="100"/>
  <c r="J92" i="100"/>
  <c r="K85" i="100"/>
  <c r="J85" i="100"/>
  <c r="I85" i="100"/>
  <c r="K78" i="100"/>
  <c r="J78" i="100"/>
  <c r="I78" i="100"/>
  <c r="I72" i="100"/>
  <c r="K72" i="100"/>
  <c r="J72" i="100"/>
  <c r="J111" i="100"/>
  <c r="I111" i="100"/>
  <c r="K111" i="100"/>
  <c r="J95" i="100"/>
  <c r="K95" i="100"/>
  <c r="I95" i="100"/>
  <c r="J87" i="100"/>
  <c r="I87" i="100"/>
  <c r="K87" i="100"/>
  <c r="K94" i="100"/>
  <c r="I94" i="100"/>
  <c r="J94" i="100"/>
  <c r="J109" i="100"/>
  <c r="K109" i="100"/>
  <c r="I109" i="100"/>
  <c r="I108" i="100"/>
  <c r="K108" i="100"/>
  <c r="J108" i="100"/>
  <c r="I104" i="100"/>
  <c r="K104" i="100"/>
  <c r="J104" i="100"/>
  <c r="K73" i="100"/>
  <c r="J73" i="100"/>
  <c r="I73" i="100"/>
  <c r="K65" i="100"/>
  <c r="I65" i="100"/>
  <c r="J65" i="100"/>
  <c r="I76" i="100"/>
  <c r="K76" i="100"/>
  <c r="J76" i="100"/>
  <c r="K64" i="99"/>
  <c r="I64" i="99"/>
  <c r="J64" i="99"/>
  <c r="K70" i="99"/>
  <c r="J70" i="99"/>
  <c r="I70" i="99"/>
  <c r="K86" i="99"/>
  <c r="J86" i="99"/>
  <c r="I86" i="99"/>
  <c r="I67" i="99"/>
  <c r="J67" i="99"/>
  <c r="K67" i="99"/>
  <c r="I80" i="99"/>
  <c r="J80" i="99"/>
  <c r="K80" i="99"/>
  <c r="J95" i="99"/>
  <c r="K95" i="99"/>
  <c r="I95" i="99"/>
  <c r="J75" i="99"/>
  <c r="I75" i="99"/>
  <c r="K75" i="99"/>
  <c r="J91" i="99"/>
  <c r="K91" i="99"/>
  <c r="I91" i="99"/>
  <c r="K102" i="99"/>
  <c r="I102" i="99"/>
  <c r="J102" i="99"/>
  <c r="J105" i="99"/>
  <c r="K105" i="99"/>
  <c r="I105" i="99"/>
  <c r="K73" i="99"/>
  <c r="J73" i="99"/>
  <c r="I73" i="99"/>
  <c r="K89" i="99"/>
  <c r="J89" i="99"/>
  <c r="I89" i="99"/>
  <c r="J103" i="99"/>
  <c r="I103" i="99"/>
  <c r="K103" i="99"/>
  <c r="K74" i="99"/>
  <c r="J74" i="99"/>
  <c r="I74" i="99"/>
  <c r="K90" i="99"/>
  <c r="J90" i="99"/>
  <c r="I90" i="99"/>
  <c r="I68" i="99"/>
  <c r="J68" i="99"/>
  <c r="K68" i="99"/>
  <c r="I84" i="99"/>
  <c r="J84" i="99"/>
  <c r="K84" i="99"/>
  <c r="I100" i="99"/>
  <c r="K100" i="99"/>
  <c r="J100" i="99"/>
  <c r="J79" i="99"/>
  <c r="I79" i="99"/>
  <c r="K79" i="99"/>
  <c r="I96" i="99"/>
  <c r="K96" i="99"/>
  <c r="J96" i="99"/>
  <c r="K106" i="99"/>
  <c r="I106" i="99"/>
  <c r="J106" i="99"/>
  <c r="J109" i="99"/>
  <c r="K109" i="99"/>
  <c r="I109" i="99"/>
  <c r="K77" i="99"/>
  <c r="J77" i="99"/>
  <c r="I77" i="99"/>
  <c r="I93" i="99"/>
  <c r="K93" i="99"/>
  <c r="J93" i="99"/>
  <c r="J107" i="99"/>
  <c r="I107" i="99"/>
  <c r="K107" i="99"/>
  <c r="K58" i="99"/>
  <c r="B33" i="99"/>
  <c r="U6" i="99"/>
  <c r="V6" i="99" s="1"/>
  <c r="K57" i="99"/>
  <c r="K78" i="99"/>
  <c r="J78" i="99"/>
  <c r="I78" i="99"/>
  <c r="I104" i="99"/>
  <c r="K104" i="99"/>
  <c r="J104" i="99"/>
  <c r="I72" i="99"/>
  <c r="J72" i="99"/>
  <c r="K72" i="99"/>
  <c r="I88" i="99"/>
  <c r="J88" i="99"/>
  <c r="K88" i="99"/>
  <c r="I108" i="99"/>
  <c r="K108" i="99"/>
  <c r="J108" i="99"/>
  <c r="J83" i="99"/>
  <c r="I83" i="99"/>
  <c r="K83" i="99"/>
  <c r="K94" i="99"/>
  <c r="J94" i="99"/>
  <c r="I94" i="99"/>
  <c r="K110" i="99"/>
  <c r="I110" i="99"/>
  <c r="J110" i="99"/>
  <c r="J113" i="99"/>
  <c r="K113" i="99"/>
  <c r="I113" i="99"/>
  <c r="K81" i="99"/>
  <c r="J81" i="99"/>
  <c r="I81" i="99"/>
  <c r="J97" i="99"/>
  <c r="I97" i="99"/>
  <c r="K97" i="99"/>
  <c r="J111" i="99"/>
  <c r="I111" i="99"/>
  <c r="K111" i="99"/>
  <c r="J57" i="99"/>
  <c r="J58" i="99"/>
  <c r="U4" i="99"/>
  <c r="V4" i="99" s="1"/>
  <c r="J66" i="99"/>
  <c r="I66" i="99"/>
  <c r="K66" i="99"/>
  <c r="K65" i="99"/>
  <c r="J65" i="99"/>
  <c r="I65" i="99"/>
  <c r="K82" i="99"/>
  <c r="J82" i="99"/>
  <c r="I82" i="99"/>
  <c r="I112" i="99"/>
  <c r="K112" i="99"/>
  <c r="J112" i="99"/>
  <c r="J63" i="99"/>
  <c r="K63" i="99"/>
  <c r="I63" i="99"/>
  <c r="I76" i="99"/>
  <c r="J76" i="99"/>
  <c r="K76" i="99"/>
  <c r="I92" i="99"/>
  <c r="J92" i="99"/>
  <c r="K92" i="99"/>
  <c r="J71" i="99"/>
  <c r="I71" i="99"/>
  <c r="K71" i="99"/>
  <c r="J87" i="99"/>
  <c r="I87" i="99"/>
  <c r="K87" i="99"/>
  <c r="K98" i="99"/>
  <c r="I98" i="99"/>
  <c r="J98" i="99"/>
  <c r="J101" i="99"/>
  <c r="K101" i="99"/>
  <c r="I101" i="99"/>
  <c r="K69" i="99"/>
  <c r="J69" i="99"/>
  <c r="I69" i="99"/>
  <c r="K85" i="99"/>
  <c r="J85" i="99"/>
  <c r="I85" i="99"/>
  <c r="J99" i="99"/>
  <c r="I99" i="99"/>
  <c r="K99" i="99"/>
  <c r="T70" i="98"/>
  <c r="T71" i="98"/>
  <c r="W26" i="98"/>
  <c r="T58" i="98"/>
  <c r="W20" i="98"/>
  <c r="T59" i="98"/>
  <c r="J89" i="98"/>
  <c r="K89" i="98"/>
  <c r="I89" i="98"/>
  <c r="J71" i="98"/>
  <c r="K71" i="98"/>
  <c r="I71" i="98"/>
  <c r="I68" i="98"/>
  <c r="J68" i="98"/>
  <c r="K68" i="98"/>
  <c r="J57" i="98"/>
  <c r="J58" i="98"/>
  <c r="U4" i="98"/>
  <c r="V4" i="98" s="1"/>
  <c r="T94" i="98"/>
  <c r="T95" i="98"/>
  <c r="W38" i="98"/>
  <c r="J99" i="98"/>
  <c r="I99" i="98"/>
  <c r="K99" i="98"/>
  <c r="J83" i="98"/>
  <c r="K83" i="98"/>
  <c r="I83" i="98"/>
  <c r="K78" i="98"/>
  <c r="I78" i="98"/>
  <c r="J78" i="98"/>
  <c r="K64" i="98"/>
  <c r="I64" i="98"/>
  <c r="J64" i="98"/>
  <c r="T76" i="98"/>
  <c r="T77" i="98"/>
  <c r="W29" i="98"/>
  <c r="J111" i="98"/>
  <c r="I111" i="98"/>
  <c r="K111" i="98"/>
  <c r="J95" i="98"/>
  <c r="K95" i="98"/>
  <c r="I95" i="98"/>
  <c r="K90" i="98"/>
  <c r="I90" i="98"/>
  <c r="J90" i="98"/>
  <c r="I80" i="98"/>
  <c r="K80" i="98"/>
  <c r="J80" i="98"/>
  <c r="T86" i="98"/>
  <c r="T87" i="98"/>
  <c r="W34" i="98"/>
  <c r="J107" i="98"/>
  <c r="I107" i="98"/>
  <c r="K107" i="98"/>
  <c r="J91" i="98"/>
  <c r="K91" i="98"/>
  <c r="I91" i="98"/>
  <c r="K86" i="98"/>
  <c r="I86" i="98"/>
  <c r="J86" i="98"/>
  <c r="I76" i="98"/>
  <c r="K76" i="98"/>
  <c r="J76" i="98"/>
  <c r="T96" i="98"/>
  <c r="T97" i="98"/>
  <c r="W39" i="98"/>
  <c r="J73" i="98"/>
  <c r="K73" i="98"/>
  <c r="I73" i="98"/>
  <c r="K106" i="98"/>
  <c r="I106" i="98"/>
  <c r="J106" i="98"/>
  <c r="J65" i="98"/>
  <c r="K65" i="98"/>
  <c r="I65" i="98"/>
  <c r="T80" i="98"/>
  <c r="T81" i="98"/>
  <c r="W31" i="98"/>
  <c r="T57" i="98"/>
  <c r="W19" i="98"/>
  <c r="T56" i="98"/>
  <c r="J85" i="98"/>
  <c r="K85" i="98"/>
  <c r="I85" i="98"/>
  <c r="I112" i="98"/>
  <c r="K112" i="98"/>
  <c r="J112" i="98"/>
  <c r="I67" i="98"/>
  <c r="K67" i="98"/>
  <c r="J67" i="98"/>
  <c r="I66" i="98"/>
  <c r="J66" i="98"/>
  <c r="K66" i="98"/>
  <c r="T82" i="98"/>
  <c r="T83" i="98"/>
  <c r="W32" i="98"/>
  <c r="J97" i="98"/>
  <c r="K97" i="98"/>
  <c r="I97" i="98"/>
  <c r="J79" i="98"/>
  <c r="K79" i="98"/>
  <c r="I79" i="98"/>
  <c r="K74" i="98"/>
  <c r="I74" i="98"/>
  <c r="J74" i="98"/>
  <c r="T68" i="98"/>
  <c r="W25" i="98"/>
  <c r="T69" i="98"/>
  <c r="J93" i="98"/>
  <c r="K93" i="98"/>
  <c r="I93" i="98"/>
  <c r="J75" i="98"/>
  <c r="K75" i="98"/>
  <c r="I75" i="98"/>
  <c r="K70" i="98"/>
  <c r="I70" i="98"/>
  <c r="J70" i="98"/>
  <c r="K57" i="98"/>
  <c r="B33" i="98"/>
  <c r="K58" i="98"/>
  <c r="U6" i="98"/>
  <c r="V6" i="98" s="1"/>
  <c r="T74" i="98"/>
  <c r="T75" i="98"/>
  <c r="W28" i="98"/>
  <c r="J105" i="98"/>
  <c r="I105" i="98"/>
  <c r="K105" i="98"/>
  <c r="K98" i="98"/>
  <c r="I98" i="98"/>
  <c r="J98" i="98"/>
  <c r="I88" i="98"/>
  <c r="K88" i="98"/>
  <c r="J88" i="98"/>
  <c r="T66" i="98"/>
  <c r="T67" i="98"/>
  <c r="W24" i="98"/>
  <c r="T88" i="98"/>
  <c r="W35" i="98"/>
  <c r="T89" i="98"/>
  <c r="J69" i="98"/>
  <c r="K69" i="98"/>
  <c r="I69" i="98"/>
  <c r="I104" i="98"/>
  <c r="K104" i="98"/>
  <c r="J104" i="98"/>
  <c r="T78" i="98"/>
  <c r="T79" i="98"/>
  <c r="W30" i="98"/>
  <c r="T54" i="98"/>
  <c r="W18" i="98"/>
  <c r="T55" i="98"/>
  <c r="J81" i="98"/>
  <c r="K81" i="98"/>
  <c r="I81" i="98"/>
  <c r="K110" i="98"/>
  <c r="I110" i="98"/>
  <c r="J110" i="98"/>
  <c r="I63" i="98"/>
  <c r="K63" i="98"/>
  <c r="J63" i="98"/>
  <c r="T72" i="98"/>
  <c r="T73" i="98"/>
  <c r="W27" i="98"/>
  <c r="T50" i="98"/>
  <c r="W16" i="98"/>
  <c r="T51" i="98"/>
  <c r="J77" i="98"/>
  <c r="K77" i="98"/>
  <c r="I77" i="98"/>
  <c r="I108" i="98"/>
  <c r="K108" i="98"/>
  <c r="J108" i="98"/>
  <c r="T90" i="98"/>
  <c r="T91" i="98"/>
  <c r="W36" i="98"/>
  <c r="T61" i="98"/>
  <c r="T60" i="98"/>
  <c r="W21" i="98"/>
  <c r="J103" i="98"/>
  <c r="I103" i="98"/>
  <c r="K103" i="98"/>
  <c r="J87" i="98"/>
  <c r="K87" i="98"/>
  <c r="I87" i="98"/>
  <c r="K82" i="98"/>
  <c r="I82" i="98"/>
  <c r="J82" i="98"/>
  <c r="I72" i="98"/>
  <c r="K72" i="98"/>
  <c r="J72" i="98"/>
  <c r="T92" i="98"/>
  <c r="T93" i="98"/>
  <c r="W37" i="98"/>
  <c r="T62" i="98"/>
  <c r="W22" i="98"/>
  <c r="T63" i="98"/>
  <c r="J101" i="98"/>
  <c r="I101" i="98"/>
  <c r="K101" i="98"/>
  <c r="K94" i="98"/>
  <c r="I94" i="98"/>
  <c r="J94" i="98"/>
  <c r="I84" i="98"/>
  <c r="K84" i="98"/>
  <c r="J84" i="98"/>
  <c r="T65" i="98"/>
  <c r="T64" i="98"/>
  <c r="W23" i="98"/>
  <c r="T84" i="98"/>
  <c r="W33" i="98"/>
  <c r="T85" i="98"/>
  <c r="J113" i="98"/>
  <c r="I113" i="98"/>
  <c r="K113" i="98"/>
  <c r="K102" i="98"/>
  <c r="I102" i="98"/>
  <c r="J102" i="98"/>
  <c r="I96" i="98"/>
  <c r="K96" i="98"/>
  <c r="J96" i="98"/>
  <c r="T53" i="98"/>
  <c r="T52" i="98"/>
  <c r="W17" i="98"/>
  <c r="V15" i="98"/>
  <c r="X15" i="98" s="1"/>
  <c r="T49" i="98"/>
  <c r="V16" i="98" a="1"/>
  <c r="T48" i="98"/>
  <c r="W15" i="98"/>
  <c r="J109" i="98"/>
  <c r="I109" i="98"/>
  <c r="K109" i="98"/>
  <c r="I100" i="98"/>
  <c r="K100" i="98"/>
  <c r="J100" i="98"/>
  <c r="I92" i="98"/>
  <c r="K92" i="98"/>
  <c r="J92" i="98"/>
  <c r="K57" i="97"/>
  <c r="B33" i="97"/>
  <c r="U6" i="97"/>
  <c r="V6" i="97" s="1"/>
  <c r="K58" i="97"/>
  <c r="K74" i="97"/>
  <c r="J74" i="97"/>
  <c r="I74" i="97"/>
  <c r="K94" i="97"/>
  <c r="J94" i="97"/>
  <c r="I94" i="97"/>
  <c r="I104" i="97"/>
  <c r="K104" i="97"/>
  <c r="J104" i="97"/>
  <c r="I112" i="97"/>
  <c r="K112" i="97"/>
  <c r="J112" i="97"/>
  <c r="I72" i="97"/>
  <c r="J72" i="97"/>
  <c r="K72" i="97"/>
  <c r="I88" i="97"/>
  <c r="J88" i="97"/>
  <c r="K88" i="97"/>
  <c r="K64" i="97"/>
  <c r="I64" i="97"/>
  <c r="J64" i="97"/>
  <c r="J83" i="97"/>
  <c r="K83" i="97"/>
  <c r="I83" i="97"/>
  <c r="J105" i="97"/>
  <c r="K105" i="97"/>
  <c r="I105" i="97"/>
  <c r="K73" i="97"/>
  <c r="J73" i="97"/>
  <c r="I73" i="97"/>
  <c r="K89" i="97"/>
  <c r="J89" i="97"/>
  <c r="I89" i="97"/>
  <c r="K103" i="97"/>
  <c r="J103" i="97"/>
  <c r="I103" i="97"/>
  <c r="T91" i="97"/>
  <c r="W36" i="97"/>
  <c r="T90" i="97"/>
  <c r="T71" i="97"/>
  <c r="W26" i="97"/>
  <c r="T70" i="97"/>
  <c r="T83" i="97"/>
  <c r="W32" i="97"/>
  <c r="T82" i="97"/>
  <c r="T57" i="97"/>
  <c r="T56" i="97"/>
  <c r="W19" i="97"/>
  <c r="T72" i="97"/>
  <c r="W27" i="97"/>
  <c r="T73" i="97"/>
  <c r="T61" i="97"/>
  <c r="T60" i="97"/>
  <c r="W21" i="97"/>
  <c r="K78" i="97"/>
  <c r="J78" i="97"/>
  <c r="I78" i="97"/>
  <c r="J58" i="97"/>
  <c r="J57" i="97"/>
  <c r="U4" i="97"/>
  <c r="V4" i="97" s="1"/>
  <c r="K90" i="97"/>
  <c r="J90" i="97"/>
  <c r="I90" i="97"/>
  <c r="K106" i="97"/>
  <c r="I106" i="97"/>
  <c r="J106" i="97"/>
  <c r="I63" i="97"/>
  <c r="K63" i="97"/>
  <c r="J63" i="97"/>
  <c r="I76" i="97"/>
  <c r="J76" i="97"/>
  <c r="K76" i="97"/>
  <c r="I92" i="97"/>
  <c r="J92" i="97"/>
  <c r="K92" i="97"/>
  <c r="J71" i="97"/>
  <c r="K71" i="97"/>
  <c r="I71" i="97"/>
  <c r="J87" i="97"/>
  <c r="K87" i="97"/>
  <c r="I87" i="97"/>
  <c r="J109" i="97"/>
  <c r="K109" i="97"/>
  <c r="I109" i="97"/>
  <c r="K77" i="97"/>
  <c r="J77" i="97"/>
  <c r="I77" i="97"/>
  <c r="K93" i="97"/>
  <c r="J93" i="97"/>
  <c r="I93" i="97"/>
  <c r="J107" i="97"/>
  <c r="K107" i="97"/>
  <c r="I107" i="97"/>
  <c r="T63" i="97"/>
  <c r="T62" i="97"/>
  <c r="W22" i="97"/>
  <c r="T95" i="97"/>
  <c r="T94" i="97"/>
  <c r="W38" i="97"/>
  <c r="T75" i="97"/>
  <c r="W28" i="97"/>
  <c r="T74" i="97"/>
  <c r="T84" i="97"/>
  <c r="W33" i="97"/>
  <c r="T85" i="97"/>
  <c r="T58" i="97"/>
  <c r="T59" i="97"/>
  <c r="W20" i="97"/>
  <c r="T79" i="97"/>
  <c r="W30" i="97"/>
  <c r="T78" i="97"/>
  <c r="T76" i="97"/>
  <c r="W29" i="97"/>
  <c r="T77" i="97"/>
  <c r="K65" i="97"/>
  <c r="J65" i="97"/>
  <c r="I65" i="97"/>
  <c r="J66" i="97"/>
  <c r="I66" i="97"/>
  <c r="K66" i="97"/>
  <c r="K82" i="97"/>
  <c r="J82" i="97"/>
  <c r="I82" i="97"/>
  <c r="K98" i="97"/>
  <c r="J98" i="97"/>
  <c r="I98" i="97"/>
  <c r="I108" i="97"/>
  <c r="K108" i="97"/>
  <c r="J108" i="97"/>
  <c r="I67" i="97"/>
  <c r="K67" i="97"/>
  <c r="J67" i="97"/>
  <c r="I80" i="97"/>
  <c r="J80" i="97"/>
  <c r="K80" i="97"/>
  <c r="I96" i="97"/>
  <c r="J96" i="97"/>
  <c r="K96" i="97"/>
  <c r="J75" i="97"/>
  <c r="K75" i="97"/>
  <c r="I75" i="97"/>
  <c r="J91" i="97"/>
  <c r="K91" i="97"/>
  <c r="I91" i="97"/>
  <c r="J113" i="97"/>
  <c r="K113" i="97"/>
  <c r="I113" i="97"/>
  <c r="K81" i="97"/>
  <c r="J81" i="97"/>
  <c r="I81" i="97"/>
  <c r="K97" i="97"/>
  <c r="J97" i="97"/>
  <c r="I97" i="97"/>
  <c r="J111" i="97"/>
  <c r="K111" i="97"/>
  <c r="I111" i="97"/>
  <c r="W23" i="97"/>
  <c r="T65" i="97"/>
  <c r="T64" i="97"/>
  <c r="T96" i="97"/>
  <c r="T97" i="97"/>
  <c r="W39" i="97"/>
  <c r="T80" i="97"/>
  <c r="W31" i="97"/>
  <c r="T81" i="97"/>
  <c r="T49" i="97"/>
  <c r="W15" i="97"/>
  <c r="T48" i="97"/>
  <c r="V16" i="97" a="1"/>
  <c r="V15" i="97"/>
  <c r="X15" i="97" s="1"/>
  <c r="T67" i="97"/>
  <c r="W24" i="97"/>
  <c r="T66" i="97"/>
  <c r="T50" i="97"/>
  <c r="T51" i="97"/>
  <c r="W16" i="97"/>
  <c r="T92" i="97"/>
  <c r="T93" i="97"/>
  <c r="W37" i="97"/>
  <c r="I100" i="97"/>
  <c r="K100" i="97"/>
  <c r="J100" i="97"/>
  <c r="K70" i="97"/>
  <c r="J70" i="97"/>
  <c r="I70" i="97"/>
  <c r="K86" i="97"/>
  <c r="J86" i="97"/>
  <c r="I86" i="97"/>
  <c r="J101" i="97"/>
  <c r="K101" i="97"/>
  <c r="I101" i="97"/>
  <c r="K110" i="97"/>
  <c r="I110" i="97"/>
  <c r="J110" i="97"/>
  <c r="I68" i="97"/>
  <c r="J68" i="97"/>
  <c r="K68" i="97"/>
  <c r="I84" i="97"/>
  <c r="J84" i="97"/>
  <c r="K84" i="97"/>
  <c r="K102" i="97"/>
  <c r="I102" i="97"/>
  <c r="J102" i="97"/>
  <c r="J79" i="97"/>
  <c r="K79" i="97"/>
  <c r="I79" i="97"/>
  <c r="J95" i="97"/>
  <c r="K95" i="97"/>
  <c r="I95" i="97"/>
  <c r="K69" i="97"/>
  <c r="J69" i="97"/>
  <c r="I69" i="97"/>
  <c r="K85" i="97"/>
  <c r="J85" i="97"/>
  <c r="I85" i="97"/>
  <c r="J99" i="97"/>
  <c r="I99" i="97"/>
  <c r="K99" i="97"/>
  <c r="T88" i="97"/>
  <c r="T89" i="97"/>
  <c r="W35" i="97"/>
  <c r="T46" i="97"/>
  <c r="T47" i="97"/>
  <c r="T87" i="97"/>
  <c r="W34" i="97"/>
  <c r="T86" i="97"/>
  <c r="T53" i="97"/>
  <c r="W17" i="97"/>
  <c r="T52" i="97"/>
  <c r="T68" i="97"/>
  <c r="T69" i="97"/>
  <c r="W25" i="97"/>
  <c r="T54" i="97"/>
  <c r="W18" i="97"/>
  <c r="T55" i="97"/>
  <c r="J81" i="96"/>
  <c r="K81" i="96"/>
  <c r="I81" i="96"/>
  <c r="I80" i="96"/>
  <c r="K80" i="96"/>
  <c r="J80" i="96"/>
  <c r="K98" i="96"/>
  <c r="I98" i="96"/>
  <c r="J98" i="96"/>
  <c r="I67" i="96"/>
  <c r="K67" i="96"/>
  <c r="J67" i="96"/>
  <c r="J95" i="96"/>
  <c r="K95" i="96"/>
  <c r="I95" i="96"/>
  <c r="J64" i="96"/>
  <c r="K64" i="96"/>
  <c r="I64" i="96"/>
  <c r="J66" i="96"/>
  <c r="I66" i="96"/>
  <c r="K66" i="96"/>
  <c r="U47" i="96"/>
  <c r="U48" i="96"/>
  <c r="J89" i="96"/>
  <c r="K89" i="96"/>
  <c r="I89" i="96"/>
  <c r="I88" i="96"/>
  <c r="K88" i="96"/>
  <c r="J88" i="96"/>
  <c r="K102" i="96"/>
  <c r="I102" i="96"/>
  <c r="J102" i="96"/>
  <c r="J87" i="96"/>
  <c r="K87" i="96"/>
  <c r="I87" i="96"/>
  <c r="K57" i="96"/>
  <c r="U6" i="96"/>
  <c r="V6" i="96" s="1"/>
  <c r="K58" i="96"/>
  <c r="J101" i="96"/>
  <c r="K101" i="96"/>
  <c r="I101" i="96"/>
  <c r="J68" i="96"/>
  <c r="K68" i="96"/>
  <c r="I68" i="96"/>
  <c r="K82" i="96"/>
  <c r="I82" i="96"/>
  <c r="J82" i="96"/>
  <c r="J107" i="96"/>
  <c r="K107" i="96"/>
  <c r="I107" i="96"/>
  <c r="K79" i="96"/>
  <c r="I79" i="96"/>
  <c r="J79" i="96"/>
  <c r="I112" i="96"/>
  <c r="K112" i="96"/>
  <c r="J112" i="96"/>
  <c r="I78" i="96"/>
  <c r="J78" i="96"/>
  <c r="K78" i="96"/>
  <c r="J109" i="96"/>
  <c r="K109" i="96"/>
  <c r="I109" i="96"/>
  <c r="J73" i="96"/>
  <c r="K73" i="96"/>
  <c r="I73" i="96"/>
  <c r="J99" i="96"/>
  <c r="K99" i="96"/>
  <c r="I99" i="96"/>
  <c r="K71" i="96"/>
  <c r="I71" i="96"/>
  <c r="J71" i="96"/>
  <c r="I108" i="96"/>
  <c r="K108" i="96"/>
  <c r="J108" i="96"/>
  <c r="I74" i="96"/>
  <c r="J74" i="96"/>
  <c r="K74" i="96"/>
  <c r="J111" i="96"/>
  <c r="K111" i="96"/>
  <c r="I111" i="96"/>
  <c r="J83" i="96"/>
  <c r="K83" i="96"/>
  <c r="I83" i="96"/>
  <c r="J93" i="96"/>
  <c r="K93" i="96"/>
  <c r="I93" i="96"/>
  <c r="I92" i="96"/>
  <c r="K92" i="96"/>
  <c r="J92" i="96"/>
  <c r="I104" i="96"/>
  <c r="K104" i="96"/>
  <c r="J104" i="96"/>
  <c r="I70" i="96"/>
  <c r="J70" i="96"/>
  <c r="K70" i="96"/>
  <c r="J91" i="96"/>
  <c r="K91" i="96"/>
  <c r="I91" i="96"/>
  <c r="J85" i="96"/>
  <c r="K85" i="96"/>
  <c r="I85" i="96"/>
  <c r="I84" i="96"/>
  <c r="K84" i="96"/>
  <c r="J84" i="96"/>
  <c r="I100" i="96"/>
  <c r="K100" i="96"/>
  <c r="J100" i="96"/>
  <c r="J97" i="96"/>
  <c r="K97" i="96"/>
  <c r="I97" i="96"/>
  <c r="I96" i="96"/>
  <c r="K96" i="96"/>
  <c r="J96" i="96"/>
  <c r="K106" i="96"/>
  <c r="I106" i="96"/>
  <c r="J106" i="96"/>
  <c r="K72" i="96"/>
  <c r="I72" i="96"/>
  <c r="J72" i="96"/>
  <c r="J113" i="96"/>
  <c r="K113" i="96"/>
  <c r="I113" i="96"/>
  <c r="J77" i="96"/>
  <c r="K77" i="96"/>
  <c r="I77" i="96"/>
  <c r="K94" i="96"/>
  <c r="I94" i="96"/>
  <c r="J94" i="96"/>
  <c r="I63" i="96"/>
  <c r="K63" i="96"/>
  <c r="J63" i="96"/>
  <c r="V38" i="96"/>
  <c r="X38" i="96" s="1"/>
  <c r="V34" i="96"/>
  <c r="X34" i="96" s="1"/>
  <c r="V30" i="96"/>
  <c r="X30" i="96" s="1"/>
  <c r="V26" i="96"/>
  <c r="X26" i="96" s="1"/>
  <c r="V22" i="96"/>
  <c r="X22" i="96" s="1"/>
  <c r="V18" i="96"/>
  <c r="X18" i="96" s="1"/>
  <c r="V37" i="96"/>
  <c r="X37" i="96" s="1"/>
  <c r="V33" i="96"/>
  <c r="X33" i="96" s="1"/>
  <c r="V29" i="96"/>
  <c r="X29" i="96" s="1"/>
  <c r="V25" i="96"/>
  <c r="X25" i="96" s="1"/>
  <c r="V21" i="96"/>
  <c r="X21" i="96" s="1"/>
  <c r="V17" i="96"/>
  <c r="X17" i="96" s="1"/>
  <c r="V40" i="96"/>
  <c r="X40" i="96" s="1"/>
  <c r="U97" i="96" s="1"/>
  <c r="V36" i="96"/>
  <c r="X36" i="96" s="1"/>
  <c r="V32" i="96"/>
  <c r="X32" i="96" s="1"/>
  <c r="V28" i="96"/>
  <c r="X28" i="96" s="1"/>
  <c r="V24" i="96"/>
  <c r="X24" i="96" s="1"/>
  <c r="V20" i="96"/>
  <c r="X20" i="96" s="1"/>
  <c r="V16" i="96"/>
  <c r="X16" i="96" s="1"/>
  <c r="V39" i="96"/>
  <c r="X39" i="96" s="1"/>
  <c r="V35" i="96"/>
  <c r="X35" i="96" s="1"/>
  <c r="V31" i="96"/>
  <c r="X31" i="96" s="1"/>
  <c r="V27" i="96"/>
  <c r="X27" i="96" s="1"/>
  <c r="V23" i="96"/>
  <c r="X23" i="96" s="1"/>
  <c r="V19" i="96"/>
  <c r="X19" i="96" s="1"/>
  <c r="J103" i="96"/>
  <c r="K103" i="96"/>
  <c r="I103" i="96"/>
  <c r="K75" i="96"/>
  <c r="I75" i="96"/>
  <c r="J75" i="96"/>
  <c r="K110" i="96"/>
  <c r="I110" i="96"/>
  <c r="J110" i="96"/>
  <c r="J105" i="96"/>
  <c r="K105" i="96"/>
  <c r="I105" i="96"/>
  <c r="J69" i="96"/>
  <c r="K69" i="96"/>
  <c r="I69" i="96"/>
  <c r="K86" i="96"/>
  <c r="I86" i="96"/>
  <c r="J86" i="96"/>
  <c r="J97" i="95"/>
  <c r="I97" i="95"/>
  <c r="K97" i="95"/>
  <c r="K102" i="95"/>
  <c r="I102" i="95"/>
  <c r="J102" i="95"/>
  <c r="I92" i="95"/>
  <c r="K92" i="95"/>
  <c r="J92" i="95"/>
  <c r="K74" i="95"/>
  <c r="J74" i="95"/>
  <c r="I74" i="95"/>
  <c r="T84" i="95"/>
  <c r="W33" i="95"/>
  <c r="T85" i="95"/>
  <c r="T54" i="95"/>
  <c r="T55" i="95"/>
  <c r="W18" i="95"/>
  <c r="J77" i="95"/>
  <c r="I77" i="95"/>
  <c r="K77" i="95"/>
  <c r="I76" i="95"/>
  <c r="J76" i="95"/>
  <c r="K76" i="95"/>
  <c r="J87" i="95"/>
  <c r="K87" i="95"/>
  <c r="I87" i="95"/>
  <c r="T80" i="95"/>
  <c r="T81" i="95"/>
  <c r="W31" i="95"/>
  <c r="J103" i="95"/>
  <c r="I103" i="95"/>
  <c r="K103" i="95"/>
  <c r="K110" i="95"/>
  <c r="I110" i="95"/>
  <c r="J110" i="95"/>
  <c r="I100" i="95"/>
  <c r="K100" i="95"/>
  <c r="J100" i="95"/>
  <c r="T66" i="95"/>
  <c r="T67" i="95"/>
  <c r="W24" i="95"/>
  <c r="J69" i="95"/>
  <c r="K69" i="95"/>
  <c r="I69" i="95"/>
  <c r="I68" i="95"/>
  <c r="J68" i="95"/>
  <c r="K68" i="95"/>
  <c r="J79" i="95"/>
  <c r="K79" i="95"/>
  <c r="I79" i="95"/>
  <c r="J57" i="95"/>
  <c r="J58" i="95"/>
  <c r="U4" i="95"/>
  <c r="V4" i="95" s="1"/>
  <c r="T62" i="95"/>
  <c r="T63" i="95"/>
  <c r="W22" i="95"/>
  <c r="J81" i="95"/>
  <c r="I81" i="95"/>
  <c r="K81" i="95"/>
  <c r="I80" i="95"/>
  <c r="J80" i="95"/>
  <c r="K80" i="95"/>
  <c r="K90" i="95"/>
  <c r="I90" i="95"/>
  <c r="J90" i="95"/>
  <c r="K86" i="95"/>
  <c r="J86" i="95"/>
  <c r="I86" i="95"/>
  <c r="T53" i="95"/>
  <c r="T52" i="95"/>
  <c r="W17" i="95"/>
  <c r="J109" i="95"/>
  <c r="K109" i="95"/>
  <c r="I109" i="95"/>
  <c r="I63" i="95"/>
  <c r="K63" i="95"/>
  <c r="J63" i="95"/>
  <c r="J71" i="95"/>
  <c r="K71" i="95"/>
  <c r="I71" i="95"/>
  <c r="T76" i="95"/>
  <c r="T77" i="95"/>
  <c r="W29" i="95"/>
  <c r="T49" i="95"/>
  <c r="V15" i="95"/>
  <c r="X15" i="95" s="1"/>
  <c r="V16" i="95" a="1"/>
  <c r="T48" i="95"/>
  <c r="W15" i="95"/>
  <c r="J89" i="95"/>
  <c r="I89" i="95"/>
  <c r="K89" i="95"/>
  <c r="I88" i="95"/>
  <c r="J88" i="95"/>
  <c r="K88" i="95"/>
  <c r="I104" i="95"/>
  <c r="K104" i="95"/>
  <c r="J104" i="95"/>
  <c r="K57" i="95"/>
  <c r="B33" i="95"/>
  <c r="U6" i="95"/>
  <c r="V6" i="95" s="1"/>
  <c r="K58" i="95"/>
  <c r="W28" i="95"/>
  <c r="T75" i="95"/>
  <c r="T74" i="95"/>
  <c r="J101" i="95"/>
  <c r="K101" i="95"/>
  <c r="I101" i="95"/>
  <c r="K70" i="95"/>
  <c r="J70" i="95"/>
  <c r="I70" i="95"/>
  <c r="T72" i="95"/>
  <c r="T73" i="95"/>
  <c r="W27" i="95"/>
  <c r="T68" i="95"/>
  <c r="T69" i="95"/>
  <c r="W25" i="95"/>
  <c r="J113" i="95"/>
  <c r="K113" i="95"/>
  <c r="I113" i="95"/>
  <c r="I67" i="95"/>
  <c r="K67" i="95"/>
  <c r="J67" i="95"/>
  <c r="J75" i="95"/>
  <c r="K75" i="95"/>
  <c r="I75" i="95"/>
  <c r="T90" i="95"/>
  <c r="T91" i="95"/>
  <c r="W36" i="95"/>
  <c r="T58" i="95"/>
  <c r="T59" i="95"/>
  <c r="W20" i="95"/>
  <c r="J107" i="95"/>
  <c r="I107" i="95"/>
  <c r="K107" i="95"/>
  <c r="J91" i="95"/>
  <c r="K91" i="95"/>
  <c r="I91" i="95"/>
  <c r="I108" i="95"/>
  <c r="K108" i="95"/>
  <c r="J108" i="95"/>
  <c r="J65" i="95"/>
  <c r="K65" i="95"/>
  <c r="I65" i="95"/>
  <c r="T71" i="95"/>
  <c r="T70" i="95"/>
  <c r="W26" i="95"/>
  <c r="T94" i="95"/>
  <c r="T95" i="95"/>
  <c r="W38" i="95"/>
  <c r="J73" i="95"/>
  <c r="I73" i="95"/>
  <c r="K73" i="95"/>
  <c r="I72" i="95"/>
  <c r="J72" i="95"/>
  <c r="K72" i="95"/>
  <c r="J83" i="95"/>
  <c r="K83" i="95"/>
  <c r="I83" i="95"/>
  <c r="T79" i="95"/>
  <c r="W30" i="95"/>
  <c r="T78" i="95"/>
  <c r="W34" i="95"/>
  <c r="T87" i="95"/>
  <c r="T86" i="95"/>
  <c r="J99" i="95"/>
  <c r="I99" i="95"/>
  <c r="K99" i="95"/>
  <c r="K106" i="95"/>
  <c r="I106" i="95"/>
  <c r="J106" i="95"/>
  <c r="I96" i="95"/>
  <c r="K96" i="95"/>
  <c r="J96" i="95"/>
  <c r="K82" i="95"/>
  <c r="J82" i="95"/>
  <c r="I82" i="95"/>
  <c r="T88" i="95"/>
  <c r="W35" i="95"/>
  <c r="T89" i="95"/>
  <c r="T61" i="95"/>
  <c r="T60" i="95"/>
  <c r="W21" i="95"/>
  <c r="J111" i="95"/>
  <c r="I111" i="95"/>
  <c r="K111" i="95"/>
  <c r="J95" i="95"/>
  <c r="K95" i="95"/>
  <c r="I95" i="95"/>
  <c r="I66" i="95"/>
  <c r="J66" i="95"/>
  <c r="K66" i="95"/>
  <c r="T92" i="95"/>
  <c r="T93" i="95"/>
  <c r="W37" i="95"/>
  <c r="W19" i="95"/>
  <c r="T57" i="95"/>
  <c r="T56" i="95"/>
  <c r="J93" i="95"/>
  <c r="I93" i="95"/>
  <c r="K93" i="95"/>
  <c r="K98" i="95"/>
  <c r="I98" i="95"/>
  <c r="J98" i="95"/>
  <c r="I112" i="95"/>
  <c r="K112" i="95"/>
  <c r="J112" i="95"/>
  <c r="K78" i="95"/>
  <c r="J78" i="95"/>
  <c r="I78" i="95"/>
  <c r="T50" i="95"/>
  <c r="W16" i="95"/>
  <c r="T51" i="95"/>
  <c r="J105" i="95"/>
  <c r="K105" i="95"/>
  <c r="I105" i="95"/>
  <c r="K64" i="95"/>
  <c r="J64" i="95"/>
  <c r="I64" i="95"/>
  <c r="T96" i="95"/>
  <c r="T97" i="95"/>
  <c r="W39" i="95"/>
  <c r="T83" i="95"/>
  <c r="W32" i="95"/>
  <c r="T82" i="95"/>
  <c r="J85" i="95"/>
  <c r="I85" i="95"/>
  <c r="K85" i="95"/>
  <c r="I84" i="95"/>
  <c r="J84" i="95"/>
  <c r="K84" i="95"/>
  <c r="K94" i="95"/>
  <c r="I94" i="95"/>
  <c r="J94" i="95"/>
  <c r="T65" i="95"/>
  <c r="T64" i="95"/>
  <c r="W23" i="95"/>
  <c r="T76" i="93"/>
  <c r="T77" i="93"/>
  <c r="W29" i="93"/>
  <c r="T52" i="93"/>
  <c r="T53" i="93"/>
  <c r="W17" i="93"/>
  <c r="W18" i="93"/>
  <c r="T84" i="93"/>
  <c r="T85" i="93"/>
  <c r="W33" i="93"/>
  <c r="T51" i="93"/>
  <c r="T50" i="93"/>
  <c r="W16" i="93"/>
  <c r="J69" i="93"/>
  <c r="K69" i="93"/>
  <c r="I69" i="93"/>
  <c r="I70" i="93"/>
  <c r="K70" i="93"/>
  <c r="J70" i="93"/>
  <c r="J77" i="93"/>
  <c r="K77" i="93"/>
  <c r="I77" i="93"/>
  <c r="K94" i="93"/>
  <c r="I94" i="93"/>
  <c r="J94" i="93"/>
  <c r="I104" i="93"/>
  <c r="K104" i="93"/>
  <c r="J104" i="93"/>
  <c r="I112" i="93"/>
  <c r="K112" i="93"/>
  <c r="J112" i="93"/>
  <c r="K80" i="93"/>
  <c r="I80" i="93"/>
  <c r="J80" i="93"/>
  <c r="K58" i="93"/>
  <c r="U6" i="93"/>
  <c r="V6" i="93" s="1"/>
  <c r="B33" i="93"/>
  <c r="K57" i="93"/>
  <c r="I92" i="93"/>
  <c r="K92" i="93"/>
  <c r="J92" i="93"/>
  <c r="I79" i="93"/>
  <c r="K79" i="93"/>
  <c r="J79" i="93"/>
  <c r="J95" i="93"/>
  <c r="K95" i="93"/>
  <c r="I95" i="93"/>
  <c r="J113" i="93"/>
  <c r="K113" i="93"/>
  <c r="I113" i="93"/>
  <c r="J93" i="93"/>
  <c r="K93" i="93"/>
  <c r="I93" i="93"/>
  <c r="J107" i="93"/>
  <c r="K107" i="93"/>
  <c r="I107" i="93"/>
  <c r="T48" i="93"/>
  <c r="V16" i="93" a="1"/>
  <c r="W15" i="93"/>
  <c r="T49" i="93"/>
  <c r="V15" i="93"/>
  <c r="X15" i="93" s="1"/>
  <c r="T70" i="93"/>
  <c r="T71" i="93"/>
  <c r="W26" i="93"/>
  <c r="T90" i="93"/>
  <c r="T91" i="93"/>
  <c r="W36" i="93"/>
  <c r="T66" i="93"/>
  <c r="T67" i="93"/>
  <c r="W24" i="93"/>
  <c r="I74" i="93"/>
  <c r="K74" i="93"/>
  <c r="J74" i="93"/>
  <c r="K82" i="93"/>
  <c r="I82" i="93"/>
  <c r="J82" i="93"/>
  <c r="K98" i="93"/>
  <c r="I98" i="93"/>
  <c r="J98" i="93"/>
  <c r="K106" i="93"/>
  <c r="I106" i="93"/>
  <c r="J106" i="93"/>
  <c r="I65" i="93"/>
  <c r="J65" i="93"/>
  <c r="K65" i="93"/>
  <c r="K66" i="93"/>
  <c r="I66" i="93"/>
  <c r="J66" i="93"/>
  <c r="I96" i="93"/>
  <c r="K96" i="93"/>
  <c r="J96" i="93"/>
  <c r="J83" i="93"/>
  <c r="K83" i="93"/>
  <c r="I83" i="93"/>
  <c r="J101" i="93"/>
  <c r="K101" i="93"/>
  <c r="I101" i="93"/>
  <c r="J81" i="93"/>
  <c r="K81" i="93"/>
  <c r="I81" i="93"/>
  <c r="J97" i="93"/>
  <c r="K97" i="93"/>
  <c r="I97" i="93"/>
  <c r="J111" i="93"/>
  <c r="K111" i="93"/>
  <c r="I111" i="93"/>
  <c r="T92" i="93"/>
  <c r="T93" i="93"/>
  <c r="W37" i="93"/>
  <c r="T88" i="93"/>
  <c r="T89" i="93"/>
  <c r="W35" i="93"/>
  <c r="T60" i="93"/>
  <c r="W21" i="93"/>
  <c r="T61" i="93"/>
  <c r="W22" i="93"/>
  <c r="T59" i="93"/>
  <c r="T58" i="93"/>
  <c r="W20" i="93"/>
  <c r="J64" i="93"/>
  <c r="I64" i="93"/>
  <c r="K64" i="93"/>
  <c r="K63" i="93"/>
  <c r="J63" i="93"/>
  <c r="I63" i="93"/>
  <c r="I78" i="93"/>
  <c r="K78" i="93"/>
  <c r="J78" i="93"/>
  <c r="K86" i="93"/>
  <c r="I86" i="93"/>
  <c r="J86" i="93"/>
  <c r="I100" i="93"/>
  <c r="K100" i="93"/>
  <c r="J100" i="93"/>
  <c r="I108" i="93"/>
  <c r="K108" i="93"/>
  <c r="J108" i="93"/>
  <c r="K72" i="93"/>
  <c r="I72" i="93"/>
  <c r="J72" i="93"/>
  <c r="I84" i="93"/>
  <c r="K84" i="93"/>
  <c r="J84" i="93"/>
  <c r="I71" i="93"/>
  <c r="K71" i="93"/>
  <c r="J71" i="93"/>
  <c r="J87" i="93"/>
  <c r="K87" i="93"/>
  <c r="I87" i="93"/>
  <c r="J105" i="93"/>
  <c r="K105" i="93"/>
  <c r="I105" i="93"/>
  <c r="J85" i="93"/>
  <c r="K85" i="93"/>
  <c r="I85" i="93"/>
  <c r="J99" i="93"/>
  <c r="K99" i="93"/>
  <c r="I99" i="93"/>
  <c r="T74" i="93"/>
  <c r="T75" i="93"/>
  <c r="W28" i="93"/>
  <c r="T82" i="93"/>
  <c r="W32" i="93"/>
  <c r="T83" i="93"/>
  <c r="T96" i="93"/>
  <c r="T97" i="93"/>
  <c r="W39" i="93"/>
  <c r="T78" i="93"/>
  <c r="T79" i="93"/>
  <c r="W30" i="93"/>
  <c r="W25" i="93"/>
  <c r="W27" i="93"/>
  <c r="T57" i="93"/>
  <c r="T56" i="93"/>
  <c r="W19" i="93"/>
  <c r="J68" i="93"/>
  <c r="I68" i="93"/>
  <c r="K68" i="93"/>
  <c r="K67" i="93"/>
  <c r="J67" i="93"/>
  <c r="I67" i="93"/>
  <c r="J73" i="93"/>
  <c r="K73" i="93"/>
  <c r="I73" i="93"/>
  <c r="K90" i="93"/>
  <c r="I90" i="93"/>
  <c r="J90" i="93"/>
  <c r="K102" i="93"/>
  <c r="I102" i="93"/>
  <c r="J102" i="93"/>
  <c r="K110" i="93"/>
  <c r="I110" i="93"/>
  <c r="J110" i="93"/>
  <c r="K76" i="93"/>
  <c r="I76" i="93"/>
  <c r="J76" i="93"/>
  <c r="J57" i="93"/>
  <c r="J58" i="93"/>
  <c r="U4" i="93"/>
  <c r="V4" i="93" s="1"/>
  <c r="I88" i="93"/>
  <c r="K88" i="93"/>
  <c r="J88" i="93"/>
  <c r="I75" i="93"/>
  <c r="K75" i="93"/>
  <c r="J75" i="93"/>
  <c r="J91" i="93"/>
  <c r="K91" i="93"/>
  <c r="I91" i="93"/>
  <c r="J109" i="93"/>
  <c r="K109" i="93"/>
  <c r="I109" i="93"/>
  <c r="J89" i="93"/>
  <c r="K89" i="93"/>
  <c r="I89" i="93"/>
  <c r="J103" i="93"/>
  <c r="K103" i="93"/>
  <c r="I103" i="93"/>
  <c r="T80" i="93"/>
  <c r="T81" i="93"/>
  <c r="W31" i="93"/>
  <c r="T65" i="93"/>
  <c r="T64" i="93"/>
  <c r="W23" i="93"/>
  <c r="U47" i="92"/>
  <c r="U48" i="92"/>
  <c r="K57" i="92"/>
  <c r="B33" i="92"/>
  <c r="K58" i="92"/>
  <c r="U6" i="92"/>
  <c r="V6" i="92" s="1"/>
  <c r="I70" i="92"/>
  <c r="K70" i="92"/>
  <c r="J70" i="92"/>
  <c r="K66" i="92"/>
  <c r="J66" i="92"/>
  <c r="I66" i="92"/>
  <c r="K94" i="92"/>
  <c r="I94" i="92"/>
  <c r="J94" i="92"/>
  <c r="I104" i="92"/>
  <c r="K104" i="92"/>
  <c r="J104" i="92"/>
  <c r="I112" i="92"/>
  <c r="K112" i="92"/>
  <c r="J112" i="92"/>
  <c r="J73" i="92"/>
  <c r="I73" i="92"/>
  <c r="K73" i="92"/>
  <c r="K76" i="92"/>
  <c r="J76" i="92"/>
  <c r="I76" i="92"/>
  <c r="I92" i="92"/>
  <c r="K92" i="92"/>
  <c r="J92" i="92"/>
  <c r="K79" i="92"/>
  <c r="J79" i="92"/>
  <c r="I79" i="92"/>
  <c r="J95" i="92"/>
  <c r="K95" i="92"/>
  <c r="I95" i="92"/>
  <c r="J113" i="92"/>
  <c r="K113" i="92"/>
  <c r="I113" i="92"/>
  <c r="J93" i="92"/>
  <c r="K93" i="92"/>
  <c r="I93" i="92"/>
  <c r="J107" i="92"/>
  <c r="K107" i="92"/>
  <c r="I107" i="92"/>
  <c r="I74" i="92"/>
  <c r="K74" i="92"/>
  <c r="J74" i="92"/>
  <c r="I63" i="92"/>
  <c r="J63" i="92"/>
  <c r="K63" i="92"/>
  <c r="K82" i="92"/>
  <c r="I82" i="92"/>
  <c r="J82" i="92"/>
  <c r="K98" i="92"/>
  <c r="I98" i="92"/>
  <c r="J98" i="92"/>
  <c r="K106" i="92"/>
  <c r="I106" i="92"/>
  <c r="J106" i="92"/>
  <c r="I64" i="92"/>
  <c r="K64" i="92"/>
  <c r="J64" i="92"/>
  <c r="J77" i="92"/>
  <c r="I77" i="92"/>
  <c r="K77" i="92"/>
  <c r="I80" i="92"/>
  <c r="K80" i="92"/>
  <c r="J80" i="92"/>
  <c r="I96" i="92"/>
  <c r="K96" i="92"/>
  <c r="J96" i="92"/>
  <c r="J83" i="92"/>
  <c r="K83" i="92"/>
  <c r="I83" i="92"/>
  <c r="J101" i="92"/>
  <c r="K101" i="92"/>
  <c r="I101" i="92"/>
  <c r="J81" i="92"/>
  <c r="I81" i="92"/>
  <c r="K81" i="92"/>
  <c r="J97" i="92"/>
  <c r="K97" i="92"/>
  <c r="I97" i="92"/>
  <c r="J111" i="92"/>
  <c r="K111" i="92"/>
  <c r="I111" i="92"/>
  <c r="V39" i="92"/>
  <c r="X39" i="92" s="1"/>
  <c r="V35" i="92"/>
  <c r="X35" i="92" s="1"/>
  <c r="V31" i="92"/>
  <c r="X31" i="92" s="1"/>
  <c r="V27" i="92"/>
  <c r="X27" i="92" s="1"/>
  <c r="V23" i="92"/>
  <c r="X23" i="92" s="1"/>
  <c r="V19" i="92"/>
  <c r="X19" i="92" s="1"/>
  <c r="V38" i="92"/>
  <c r="X38" i="92" s="1"/>
  <c r="V34" i="92"/>
  <c r="X34" i="92" s="1"/>
  <c r="V30" i="92"/>
  <c r="X30" i="92" s="1"/>
  <c r="V26" i="92"/>
  <c r="X26" i="92" s="1"/>
  <c r="V22" i="92"/>
  <c r="X22" i="92" s="1"/>
  <c r="V18" i="92"/>
  <c r="X18" i="92" s="1"/>
  <c r="V37" i="92"/>
  <c r="X37" i="92" s="1"/>
  <c r="V33" i="92"/>
  <c r="X33" i="92" s="1"/>
  <c r="V29" i="92"/>
  <c r="X29" i="92" s="1"/>
  <c r="V25" i="92"/>
  <c r="X25" i="92" s="1"/>
  <c r="V21" i="92"/>
  <c r="X21" i="92" s="1"/>
  <c r="V17" i="92"/>
  <c r="X17" i="92" s="1"/>
  <c r="V40" i="92"/>
  <c r="X40" i="92" s="1"/>
  <c r="U97" i="92" s="1"/>
  <c r="V36" i="92"/>
  <c r="X36" i="92" s="1"/>
  <c r="V32" i="92"/>
  <c r="X32" i="92" s="1"/>
  <c r="V28" i="92"/>
  <c r="X28" i="92" s="1"/>
  <c r="V24" i="92"/>
  <c r="X24" i="92" s="1"/>
  <c r="V20" i="92"/>
  <c r="X20" i="92" s="1"/>
  <c r="V16" i="92"/>
  <c r="X16" i="92" s="1"/>
  <c r="J67" i="92"/>
  <c r="I67" i="92"/>
  <c r="K67" i="92"/>
  <c r="I78" i="92"/>
  <c r="K78" i="92"/>
  <c r="J78" i="92"/>
  <c r="K86" i="92"/>
  <c r="I86" i="92"/>
  <c r="J86" i="92"/>
  <c r="I100" i="92"/>
  <c r="K100" i="92"/>
  <c r="J100" i="92"/>
  <c r="I108" i="92"/>
  <c r="K108" i="92"/>
  <c r="J108" i="92"/>
  <c r="I68" i="92"/>
  <c r="K68" i="92"/>
  <c r="J68" i="92"/>
  <c r="K65" i="92"/>
  <c r="J65" i="92"/>
  <c r="I65" i="92"/>
  <c r="I84" i="92"/>
  <c r="K84" i="92"/>
  <c r="J84" i="92"/>
  <c r="K71" i="92"/>
  <c r="J71" i="92"/>
  <c r="I71" i="92"/>
  <c r="J87" i="92"/>
  <c r="K87" i="92"/>
  <c r="I87" i="92"/>
  <c r="J105" i="92"/>
  <c r="K105" i="92"/>
  <c r="I105" i="92"/>
  <c r="J85" i="92"/>
  <c r="I85" i="92"/>
  <c r="K85" i="92"/>
  <c r="J99" i="92"/>
  <c r="K99" i="92"/>
  <c r="I99" i="92"/>
  <c r="J58" i="92"/>
  <c r="U4" i="92"/>
  <c r="V4" i="92" s="1"/>
  <c r="J57" i="92"/>
  <c r="K90" i="92"/>
  <c r="I90" i="92"/>
  <c r="J90" i="92"/>
  <c r="K102" i="92"/>
  <c r="I102" i="92"/>
  <c r="J102" i="92"/>
  <c r="K110" i="92"/>
  <c r="I110" i="92"/>
  <c r="J110" i="92"/>
  <c r="J69" i="92"/>
  <c r="I69" i="92"/>
  <c r="K69" i="92"/>
  <c r="K72" i="92"/>
  <c r="J72" i="92"/>
  <c r="I72" i="92"/>
  <c r="I88" i="92"/>
  <c r="K88" i="92"/>
  <c r="J88" i="92"/>
  <c r="K75" i="92"/>
  <c r="J75" i="92"/>
  <c r="I75" i="92"/>
  <c r="J91" i="92"/>
  <c r="K91" i="92"/>
  <c r="I91" i="92"/>
  <c r="J109" i="92"/>
  <c r="K109" i="92"/>
  <c r="I109" i="92"/>
  <c r="J89" i="92"/>
  <c r="I89" i="92"/>
  <c r="K89" i="92"/>
  <c r="J103" i="92"/>
  <c r="K103" i="92"/>
  <c r="I103" i="92"/>
  <c r="T88" i="91"/>
  <c r="T89" i="91"/>
  <c r="W35" i="91"/>
  <c r="T66" i="91"/>
  <c r="W24" i="91"/>
  <c r="T67" i="91"/>
  <c r="J89" i="91"/>
  <c r="K89" i="91"/>
  <c r="I89" i="91"/>
  <c r="I88" i="91"/>
  <c r="K88" i="91"/>
  <c r="J88" i="91"/>
  <c r="I78" i="91"/>
  <c r="K78" i="91"/>
  <c r="J78" i="91"/>
  <c r="J69" i="91"/>
  <c r="K69" i="91"/>
  <c r="I69" i="91"/>
  <c r="T48" i="91"/>
  <c r="T49" i="91"/>
  <c r="V16" i="91" a="1"/>
  <c r="W15" i="91"/>
  <c r="V15" i="91"/>
  <c r="X15" i="91" s="1"/>
  <c r="J105" i="91"/>
  <c r="K105" i="91"/>
  <c r="I105" i="91"/>
  <c r="I74" i="91"/>
  <c r="K74" i="91"/>
  <c r="J74" i="91"/>
  <c r="T92" i="91"/>
  <c r="T93" i="91"/>
  <c r="W37" i="91"/>
  <c r="J97" i="91"/>
  <c r="K97" i="91"/>
  <c r="I97" i="91"/>
  <c r="I96" i="91"/>
  <c r="K96" i="91"/>
  <c r="J96" i="91"/>
  <c r="K102" i="91"/>
  <c r="I102" i="91"/>
  <c r="J102" i="91"/>
  <c r="J73" i="91"/>
  <c r="K73" i="91"/>
  <c r="I73" i="91"/>
  <c r="T72" i="91"/>
  <c r="W27" i="91"/>
  <c r="T73" i="91"/>
  <c r="J107" i="91"/>
  <c r="K107" i="91"/>
  <c r="I107" i="91"/>
  <c r="J79" i="91"/>
  <c r="K79" i="91"/>
  <c r="I79" i="91"/>
  <c r="I108" i="91"/>
  <c r="K108" i="91"/>
  <c r="J108" i="91"/>
  <c r="K82" i="91"/>
  <c r="I82" i="91"/>
  <c r="J82" i="91"/>
  <c r="T68" i="91"/>
  <c r="T69" i="91"/>
  <c r="W25" i="91"/>
  <c r="T78" i="91"/>
  <c r="T79" i="91"/>
  <c r="W30" i="91"/>
  <c r="J109" i="91"/>
  <c r="K109" i="91"/>
  <c r="I109" i="91"/>
  <c r="I65" i="91"/>
  <c r="J65" i="91"/>
  <c r="K65" i="91"/>
  <c r="K63" i="91"/>
  <c r="J63" i="91"/>
  <c r="I63" i="91"/>
  <c r="T62" i="91"/>
  <c r="W22" i="91"/>
  <c r="T63" i="91"/>
  <c r="J87" i="91"/>
  <c r="K87" i="91"/>
  <c r="I87" i="91"/>
  <c r="I112" i="91"/>
  <c r="K112" i="91"/>
  <c r="J112" i="91"/>
  <c r="K58" i="91"/>
  <c r="K57" i="91"/>
  <c r="U6" i="91"/>
  <c r="V6" i="91" s="1"/>
  <c r="T84" i="91"/>
  <c r="T85" i="91"/>
  <c r="W33" i="91"/>
  <c r="T51" i="91"/>
  <c r="T50" i="91"/>
  <c r="W16" i="91"/>
  <c r="J81" i="91"/>
  <c r="I81" i="91"/>
  <c r="K81" i="91"/>
  <c r="I80" i="91"/>
  <c r="K80" i="91"/>
  <c r="J80" i="91"/>
  <c r="K90" i="91"/>
  <c r="I90" i="91"/>
  <c r="J90" i="91"/>
  <c r="T80" i="91"/>
  <c r="T81" i="91"/>
  <c r="W31" i="91"/>
  <c r="J93" i="91"/>
  <c r="K93" i="91"/>
  <c r="I93" i="91"/>
  <c r="I92" i="91"/>
  <c r="K92" i="91"/>
  <c r="J92" i="91"/>
  <c r="I100" i="91"/>
  <c r="K100" i="91"/>
  <c r="J100" i="91"/>
  <c r="J68" i="91"/>
  <c r="I68" i="91"/>
  <c r="K68" i="91"/>
  <c r="T70" i="91"/>
  <c r="T71" i="91"/>
  <c r="W26" i="91"/>
  <c r="T52" i="91"/>
  <c r="T53" i="91"/>
  <c r="W17" i="91"/>
  <c r="J91" i="91"/>
  <c r="K91" i="91"/>
  <c r="I91" i="91"/>
  <c r="K106" i="91"/>
  <c r="I106" i="91"/>
  <c r="J106" i="91"/>
  <c r="T86" i="91"/>
  <c r="T87" i="91"/>
  <c r="W34" i="91"/>
  <c r="W21" i="91"/>
  <c r="T60" i="91"/>
  <c r="T61" i="91"/>
  <c r="J99" i="91"/>
  <c r="K99" i="91"/>
  <c r="I99" i="91"/>
  <c r="I71" i="91"/>
  <c r="J71" i="91"/>
  <c r="K71" i="91"/>
  <c r="I104" i="91"/>
  <c r="K104" i="91"/>
  <c r="J104" i="91"/>
  <c r="T90" i="91"/>
  <c r="T91" i="91"/>
  <c r="W36" i="91"/>
  <c r="T59" i="91"/>
  <c r="T58" i="91"/>
  <c r="W20" i="91"/>
  <c r="J101" i="91"/>
  <c r="K101" i="91"/>
  <c r="I101" i="91"/>
  <c r="K76" i="91"/>
  <c r="I76" i="91"/>
  <c r="J76" i="91"/>
  <c r="I70" i="91"/>
  <c r="K70" i="91"/>
  <c r="J70" i="91"/>
  <c r="T82" i="91"/>
  <c r="T83" i="91"/>
  <c r="W32" i="91"/>
  <c r="T94" i="91"/>
  <c r="W38" i="91"/>
  <c r="T95" i="91"/>
  <c r="J113" i="91"/>
  <c r="K113" i="91"/>
  <c r="I113" i="91"/>
  <c r="K66" i="91"/>
  <c r="I66" i="91"/>
  <c r="J66" i="91"/>
  <c r="K86" i="91"/>
  <c r="I86" i="91"/>
  <c r="J86" i="91"/>
  <c r="J77" i="91"/>
  <c r="K77" i="91"/>
  <c r="I77" i="91"/>
  <c r="T65" i="91"/>
  <c r="T64" i="91"/>
  <c r="W23" i="91"/>
  <c r="J103" i="91"/>
  <c r="K103" i="91"/>
  <c r="I103" i="91"/>
  <c r="I75" i="91"/>
  <c r="J75" i="91"/>
  <c r="K75" i="91"/>
  <c r="K98" i="91"/>
  <c r="I98" i="91"/>
  <c r="J98" i="91"/>
  <c r="J64" i="91"/>
  <c r="I64" i="91"/>
  <c r="K64" i="91"/>
  <c r="T57" i="91"/>
  <c r="T56" i="91"/>
  <c r="W19" i="91"/>
  <c r="W29" i="91"/>
  <c r="T76" i="91"/>
  <c r="T77" i="91"/>
  <c r="J85" i="91"/>
  <c r="K85" i="91"/>
  <c r="I85" i="91"/>
  <c r="I84" i="91"/>
  <c r="K84" i="91"/>
  <c r="J84" i="91"/>
  <c r="K94" i="91"/>
  <c r="I94" i="91"/>
  <c r="J94" i="91"/>
  <c r="T96" i="91"/>
  <c r="T97" i="91"/>
  <c r="W39" i="91"/>
  <c r="J111" i="91"/>
  <c r="K111" i="91"/>
  <c r="I111" i="91"/>
  <c r="J83" i="91"/>
  <c r="K83" i="91"/>
  <c r="I83" i="91"/>
  <c r="K110" i="91"/>
  <c r="I110" i="91"/>
  <c r="J110" i="91"/>
  <c r="J57" i="91"/>
  <c r="J58" i="91"/>
  <c r="U4" i="91"/>
  <c r="V4" i="91" s="1"/>
  <c r="T74" i="91"/>
  <c r="T75" i="91"/>
  <c r="W28" i="91"/>
  <c r="T55" i="91"/>
  <c r="W18" i="91"/>
  <c r="T54" i="91"/>
  <c r="J95" i="91"/>
  <c r="K95" i="91"/>
  <c r="I95" i="91"/>
  <c r="K72" i="91"/>
  <c r="I72" i="91"/>
  <c r="J72" i="91"/>
  <c r="K67" i="91"/>
  <c r="J67" i="91"/>
  <c r="I67" i="91"/>
  <c r="V16" i="90" a="1"/>
  <c r="V31" i="90" s="1"/>
  <c r="X31" i="90" s="1"/>
  <c r="V15" i="90"/>
  <c r="X15" i="90" s="1"/>
  <c r="U47" i="90" s="1"/>
  <c r="W35" i="90"/>
  <c r="T88" i="90"/>
  <c r="T89" i="90"/>
  <c r="T52" i="90"/>
  <c r="T53" i="90"/>
  <c r="K58" i="90"/>
  <c r="K57" i="90"/>
  <c r="U6" i="90"/>
  <c r="V6" i="90" s="1"/>
  <c r="I72" i="90"/>
  <c r="K72" i="90"/>
  <c r="J72" i="90"/>
  <c r="I88" i="90"/>
  <c r="K88" i="90"/>
  <c r="J88" i="90"/>
  <c r="I112" i="90"/>
  <c r="K112" i="90"/>
  <c r="J112" i="90"/>
  <c r="K78" i="90"/>
  <c r="I78" i="90"/>
  <c r="J78" i="90"/>
  <c r="I108" i="90"/>
  <c r="K108" i="90"/>
  <c r="J108" i="90"/>
  <c r="K90" i="90"/>
  <c r="J90" i="90"/>
  <c r="I90" i="90"/>
  <c r="K106" i="90"/>
  <c r="I106" i="90"/>
  <c r="J106" i="90"/>
  <c r="J109" i="90"/>
  <c r="K109" i="90"/>
  <c r="I109" i="90"/>
  <c r="I77" i="90"/>
  <c r="J77" i="90"/>
  <c r="K77" i="90"/>
  <c r="I93" i="90"/>
  <c r="K93" i="90"/>
  <c r="J93" i="90"/>
  <c r="J107" i="90"/>
  <c r="I107" i="90"/>
  <c r="K107" i="90"/>
  <c r="I64" i="90"/>
  <c r="K64" i="90"/>
  <c r="J64" i="90"/>
  <c r="J71" i="90"/>
  <c r="K71" i="90"/>
  <c r="I71" i="90"/>
  <c r="J63" i="90"/>
  <c r="K63" i="90"/>
  <c r="I63" i="90"/>
  <c r="I76" i="90"/>
  <c r="K76" i="90"/>
  <c r="J76" i="90"/>
  <c r="I92" i="90"/>
  <c r="J92" i="90"/>
  <c r="K92" i="90"/>
  <c r="I65" i="90"/>
  <c r="J65" i="90"/>
  <c r="K65" i="90"/>
  <c r="K82" i="90"/>
  <c r="I82" i="90"/>
  <c r="J82" i="90"/>
  <c r="K66" i="90"/>
  <c r="I66" i="90"/>
  <c r="J66" i="90"/>
  <c r="K94" i="90"/>
  <c r="J94" i="90"/>
  <c r="I94" i="90"/>
  <c r="K110" i="90"/>
  <c r="I110" i="90"/>
  <c r="J110" i="90"/>
  <c r="J113" i="90"/>
  <c r="K113" i="90"/>
  <c r="I113" i="90"/>
  <c r="I81" i="90"/>
  <c r="J81" i="90"/>
  <c r="K81" i="90"/>
  <c r="I97" i="90"/>
  <c r="K97" i="90"/>
  <c r="J97" i="90"/>
  <c r="J111" i="90"/>
  <c r="I111" i="90"/>
  <c r="K111" i="90"/>
  <c r="V39" i="90"/>
  <c r="X39" i="90" s="1"/>
  <c r="V35" i="90"/>
  <c r="X35" i="90" s="1"/>
  <c r="V23" i="90"/>
  <c r="X23" i="90" s="1"/>
  <c r="V19" i="90"/>
  <c r="X19" i="90" s="1"/>
  <c r="V34" i="90"/>
  <c r="X34" i="90" s="1"/>
  <c r="V26" i="90"/>
  <c r="X26" i="90" s="1"/>
  <c r="V18" i="90"/>
  <c r="X18" i="90" s="1"/>
  <c r="V37" i="90"/>
  <c r="X37" i="90" s="1"/>
  <c r="V25" i="90"/>
  <c r="X25" i="90" s="1"/>
  <c r="V21" i="90"/>
  <c r="X21" i="90" s="1"/>
  <c r="V17" i="90"/>
  <c r="X17" i="90" s="1"/>
  <c r="V32" i="90"/>
  <c r="X32" i="90" s="1"/>
  <c r="V28" i="90"/>
  <c r="X28" i="90" s="1"/>
  <c r="V20" i="90"/>
  <c r="X20" i="90" s="1"/>
  <c r="J75" i="90"/>
  <c r="K75" i="90"/>
  <c r="I75" i="90"/>
  <c r="J79" i="90"/>
  <c r="K79" i="90"/>
  <c r="I79" i="90"/>
  <c r="K67" i="90"/>
  <c r="J67" i="90"/>
  <c r="I67" i="90"/>
  <c r="I80" i="90"/>
  <c r="K80" i="90"/>
  <c r="J80" i="90"/>
  <c r="I96" i="90"/>
  <c r="J96" i="90"/>
  <c r="K96" i="90"/>
  <c r="K70" i="90"/>
  <c r="I70" i="90"/>
  <c r="J70" i="90"/>
  <c r="K86" i="90"/>
  <c r="I86" i="90"/>
  <c r="J86" i="90"/>
  <c r="J91" i="90"/>
  <c r="K91" i="90"/>
  <c r="I91" i="90"/>
  <c r="K98" i="90"/>
  <c r="J98" i="90"/>
  <c r="I98" i="90"/>
  <c r="J101" i="90"/>
  <c r="K101" i="90"/>
  <c r="I101" i="90"/>
  <c r="I69" i="90"/>
  <c r="J69" i="90"/>
  <c r="K69" i="90"/>
  <c r="I85" i="90"/>
  <c r="J85" i="90"/>
  <c r="K85" i="90"/>
  <c r="I99" i="90"/>
  <c r="J99" i="90"/>
  <c r="K99" i="90"/>
  <c r="U48" i="90"/>
  <c r="J83" i="90"/>
  <c r="K83" i="90"/>
  <c r="I83" i="90"/>
  <c r="J87" i="90"/>
  <c r="K87" i="90"/>
  <c r="I87" i="90"/>
  <c r="J57" i="90"/>
  <c r="U4" i="90"/>
  <c r="V4" i="90" s="1"/>
  <c r="J58" i="90"/>
  <c r="I68" i="90"/>
  <c r="K68" i="90"/>
  <c r="J68" i="90"/>
  <c r="I84" i="90"/>
  <c r="K84" i="90"/>
  <c r="J84" i="90"/>
  <c r="I104" i="90"/>
  <c r="K104" i="90"/>
  <c r="J104" i="90"/>
  <c r="K74" i="90"/>
  <c r="I74" i="90"/>
  <c r="J74" i="90"/>
  <c r="I100" i="90"/>
  <c r="K100" i="90"/>
  <c r="J100" i="90"/>
  <c r="J95" i="90"/>
  <c r="K95" i="90"/>
  <c r="I95" i="90"/>
  <c r="K102" i="90"/>
  <c r="I102" i="90"/>
  <c r="J102" i="90"/>
  <c r="J105" i="90"/>
  <c r="K105" i="90"/>
  <c r="I105" i="90"/>
  <c r="I73" i="90"/>
  <c r="J73" i="90"/>
  <c r="K73" i="90"/>
  <c r="I89" i="90"/>
  <c r="J89" i="90"/>
  <c r="K89" i="90"/>
  <c r="J103" i="90"/>
  <c r="I103" i="90"/>
  <c r="K103" i="90"/>
  <c r="T70" i="89"/>
  <c r="W26" i="89"/>
  <c r="T71" i="89"/>
  <c r="T54" i="89"/>
  <c r="T55" i="89"/>
  <c r="W18" i="89"/>
  <c r="V15" i="89"/>
  <c r="X15" i="89" s="1"/>
  <c r="T52" i="89"/>
  <c r="T53" i="89"/>
  <c r="W17" i="89"/>
  <c r="T88" i="89"/>
  <c r="T89" i="89"/>
  <c r="W35" i="89"/>
  <c r="T62" i="89"/>
  <c r="W22" i="89"/>
  <c r="T63" i="89"/>
  <c r="J79" i="89"/>
  <c r="K79" i="89"/>
  <c r="I79" i="89"/>
  <c r="J83" i="89"/>
  <c r="K83" i="89"/>
  <c r="I83" i="89"/>
  <c r="K74" i="89"/>
  <c r="J74" i="89"/>
  <c r="I74" i="89"/>
  <c r="K90" i="89"/>
  <c r="J90" i="89"/>
  <c r="I90" i="89"/>
  <c r="K106" i="89"/>
  <c r="I106" i="89"/>
  <c r="J106" i="89"/>
  <c r="I66" i="89"/>
  <c r="K66" i="89"/>
  <c r="J66" i="89"/>
  <c r="I68" i="89"/>
  <c r="K68" i="89"/>
  <c r="J68" i="89"/>
  <c r="I84" i="89"/>
  <c r="K84" i="89"/>
  <c r="J84" i="89"/>
  <c r="K102" i="89"/>
  <c r="J102" i="89"/>
  <c r="I102" i="89"/>
  <c r="J69" i="89"/>
  <c r="I69" i="89"/>
  <c r="K69" i="89"/>
  <c r="J85" i="89"/>
  <c r="I85" i="89"/>
  <c r="K85" i="89"/>
  <c r="I99" i="89"/>
  <c r="K99" i="89"/>
  <c r="J99" i="89"/>
  <c r="T58" i="89"/>
  <c r="T59" i="89"/>
  <c r="W20" i="89"/>
  <c r="T78" i="89"/>
  <c r="W30" i="89"/>
  <c r="T79" i="89"/>
  <c r="T68" i="89"/>
  <c r="T69" i="89"/>
  <c r="W25" i="89"/>
  <c r="T90" i="89"/>
  <c r="W36" i="89"/>
  <c r="T91" i="89"/>
  <c r="J87" i="89"/>
  <c r="K87" i="89"/>
  <c r="I87" i="89"/>
  <c r="J57" i="89"/>
  <c r="J58" i="89"/>
  <c r="U4" i="89"/>
  <c r="V4" i="89" s="1"/>
  <c r="J91" i="89"/>
  <c r="K91" i="89"/>
  <c r="I91" i="89"/>
  <c r="K78" i="89"/>
  <c r="J78" i="89"/>
  <c r="I78" i="89"/>
  <c r="K94" i="89"/>
  <c r="J94" i="89"/>
  <c r="I94" i="89"/>
  <c r="I108" i="89"/>
  <c r="K108" i="89"/>
  <c r="J108" i="89"/>
  <c r="J101" i="89"/>
  <c r="I101" i="89"/>
  <c r="K101" i="89"/>
  <c r="I72" i="89"/>
  <c r="K72" i="89"/>
  <c r="J72" i="89"/>
  <c r="I88" i="89"/>
  <c r="K88" i="89"/>
  <c r="J88" i="89"/>
  <c r="I104" i="89"/>
  <c r="K104" i="89"/>
  <c r="J104" i="89"/>
  <c r="J73" i="89"/>
  <c r="I73" i="89"/>
  <c r="K73" i="89"/>
  <c r="J89" i="89"/>
  <c r="I89" i="89"/>
  <c r="K89" i="89"/>
  <c r="K103" i="89"/>
  <c r="J103" i="89"/>
  <c r="I103" i="89"/>
  <c r="T96" i="89"/>
  <c r="T97" i="89"/>
  <c r="W39" i="89"/>
  <c r="T74" i="89"/>
  <c r="W28" i="89"/>
  <c r="T75" i="89"/>
  <c r="V16" i="89" a="1"/>
  <c r="W19" i="89"/>
  <c r="T65" i="89"/>
  <c r="T64" i="89"/>
  <c r="W23" i="89"/>
  <c r="T86" i="89"/>
  <c r="T87" i="89"/>
  <c r="W34" i="89"/>
  <c r="K64" i="89"/>
  <c r="J64" i="89"/>
  <c r="I64" i="89"/>
  <c r="J95" i="89"/>
  <c r="K95" i="89"/>
  <c r="I95" i="89"/>
  <c r="K58" i="89"/>
  <c r="K57" i="89"/>
  <c r="U6" i="89"/>
  <c r="V6" i="89" s="1"/>
  <c r="J105" i="89"/>
  <c r="K105" i="89"/>
  <c r="I105" i="89"/>
  <c r="K82" i="89"/>
  <c r="J82" i="89"/>
  <c r="I82" i="89"/>
  <c r="K98" i="89"/>
  <c r="J98" i="89"/>
  <c r="I98" i="89"/>
  <c r="K110" i="89"/>
  <c r="I110" i="89"/>
  <c r="J110" i="89"/>
  <c r="K63" i="89"/>
  <c r="I63" i="89"/>
  <c r="J63" i="89"/>
  <c r="I76" i="89"/>
  <c r="K76" i="89"/>
  <c r="J76" i="89"/>
  <c r="I92" i="89"/>
  <c r="K92" i="89"/>
  <c r="J92" i="89"/>
  <c r="J109" i="89"/>
  <c r="K109" i="89"/>
  <c r="I109" i="89"/>
  <c r="J77" i="89"/>
  <c r="I77" i="89"/>
  <c r="K77" i="89"/>
  <c r="J93" i="89"/>
  <c r="I93" i="89"/>
  <c r="K93" i="89"/>
  <c r="J107" i="89"/>
  <c r="K107" i="89"/>
  <c r="I107" i="89"/>
  <c r="T92" i="89"/>
  <c r="T93" i="89"/>
  <c r="W37" i="89"/>
  <c r="T84" i="89"/>
  <c r="T85" i="89"/>
  <c r="W33" i="89"/>
  <c r="W38" i="89"/>
  <c r="T94" i="89"/>
  <c r="T95" i="89"/>
  <c r="T72" i="89"/>
  <c r="T73" i="89"/>
  <c r="W27" i="89"/>
  <c r="T61" i="89"/>
  <c r="W21" i="89"/>
  <c r="T60" i="89"/>
  <c r="J71" i="89"/>
  <c r="K71" i="89"/>
  <c r="I71" i="89"/>
  <c r="J65" i="89"/>
  <c r="I65" i="89"/>
  <c r="K65" i="89"/>
  <c r="J75" i="89"/>
  <c r="K75" i="89"/>
  <c r="I75" i="89"/>
  <c r="K70" i="89"/>
  <c r="J70" i="89"/>
  <c r="I70" i="89"/>
  <c r="K86" i="89"/>
  <c r="J86" i="89"/>
  <c r="I86" i="89"/>
  <c r="I100" i="89"/>
  <c r="K100" i="89"/>
  <c r="J100" i="89"/>
  <c r="I112" i="89"/>
  <c r="K112" i="89"/>
  <c r="J112" i="89"/>
  <c r="K67" i="89"/>
  <c r="J67" i="89"/>
  <c r="I67" i="89"/>
  <c r="I80" i="89"/>
  <c r="K80" i="89"/>
  <c r="J80" i="89"/>
  <c r="I96" i="89"/>
  <c r="K96" i="89"/>
  <c r="J96" i="89"/>
  <c r="J113" i="89"/>
  <c r="K113" i="89"/>
  <c r="I113" i="89"/>
  <c r="J81" i="89"/>
  <c r="I81" i="89"/>
  <c r="K81" i="89"/>
  <c r="J97" i="89"/>
  <c r="I97" i="89"/>
  <c r="K97" i="89"/>
  <c r="J111" i="89"/>
  <c r="K111" i="89"/>
  <c r="I111" i="89"/>
  <c r="T88" i="88"/>
  <c r="T89" i="88"/>
  <c r="W35" i="88"/>
  <c r="T56" i="88"/>
  <c r="T57" i="88"/>
  <c r="W19" i="88"/>
  <c r="T76" i="88"/>
  <c r="W29" i="88"/>
  <c r="T77" i="88"/>
  <c r="K66" i="88"/>
  <c r="I66" i="88"/>
  <c r="J66" i="88"/>
  <c r="J63" i="88"/>
  <c r="K63" i="88"/>
  <c r="I63" i="88"/>
  <c r="I76" i="88"/>
  <c r="K76" i="88"/>
  <c r="J76" i="88"/>
  <c r="I92" i="88"/>
  <c r="K92" i="88"/>
  <c r="J92" i="88"/>
  <c r="J79" i="88"/>
  <c r="I79" i="88"/>
  <c r="K79" i="88"/>
  <c r="J95" i="88"/>
  <c r="K95" i="88"/>
  <c r="I95" i="88"/>
  <c r="K78" i="88"/>
  <c r="J78" i="88"/>
  <c r="I78" i="88"/>
  <c r="K94" i="88"/>
  <c r="I94" i="88"/>
  <c r="J94" i="88"/>
  <c r="I104" i="88"/>
  <c r="K104" i="88"/>
  <c r="J104" i="88"/>
  <c r="I112" i="88"/>
  <c r="K112" i="88"/>
  <c r="J112" i="88"/>
  <c r="J113" i="88"/>
  <c r="K113" i="88"/>
  <c r="I113" i="88"/>
  <c r="K81" i="88"/>
  <c r="J81" i="88"/>
  <c r="I81" i="88"/>
  <c r="I97" i="88"/>
  <c r="K97" i="88"/>
  <c r="J97" i="88"/>
  <c r="J111" i="88"/>
  <c r="K111" i="88"/>
  <c r="I111" i="88"/>
  <c r="T96" i="88"/>
  <c r="T97" i="88"/>
  <c r="W39" i="88"/>
  <c r="T82" i="88"/>
  <c r="T83" i="88"/>
  <c r="W32" i="88"/>
  <c r="T78" i="88"/>
  <c r="T79" i="88"/>
  <c r="W30" i="88"/>
  <c r="T68" i="88"/>
  <c r="T69" i="88"/>
  <c r="W25" i="88"/>
  <c r="J67" i="88"/>
  <c r="K67" i="88"/>
  <c r="I67" i="88"/>
  <c r="I80" i="88"/>
  <c r="K80" i="88"/>
  <c r="J80" i="88"/>
  <c r="I96" i="88"/>
  <c r="K96" i="88"/>
  <c r="J96" i="88"/>
  <c r="J83" i="88"/>
  <c r="K83" i="88"/>
  <c r="I83" i="88"/>
  <c r="J65" i="88"/>
  <c r="I65" i="88"/>
  <c r="K65" i="88"/>
  <c r="K82" i="88"/>
  <c r="J82" i="88"/>
  <c r="I82" i="88"/>
  <c r="K98" i="88"/>
  <c r="I98" i="88"/>
  <c r="J98" i="88"/>
  <c r="K106" i="88"/>
  <c r="I106" i="88"/>
  <c r="J106" i="88"/>
  <c r="J101" i="88"/>
  <c r="K101" i="88"/>
  <c r="I101" i="88"/>
  <c r="K69" i="88"/>
  <c r="J69" i="88"/>
  <c r="I69" i="88"/>
  <c r="I85" i="88"/>
  <c r="K85" i="88"/>
  <c r="J85" i="88"/>
  <c r="J99" i="88"/>
  <c r="K99" i="88"/>
  <c r="I99" i="88"/>
  <c r="T60" i="88"/>
  <c r="T61" i="88"/>
  <c r="W21" i="88"/>
  <c r="T70" i="88"/>
  <c r="T71" i="88"/>
  <c r="W26" i="88"/>
  <c r="T90" i="88"/>
  <c r="T91" i="88"/>
  <c r="W36" i="88"/>
  <c r="T67" i="88"/>
  <c r="T66" i="88"/>
  <c r="W24" i="88"/>
  <c r="T86" i="88"/>
  <c r="T87" i="88"/>
  <c r="W34" i="88"/>
  <c r="T64" i="88"/>
  <c r="T65" i="88"/>
  <c r="W23" i="88"/>
  <c r="T94" i="88"/>
  <c r="T95" i="88"/>
  <c r="W38" i="88"/>
  <c r="I68" i="88"/>
  <c r="K68" i="88"/>
  <c r="J68" i="88"/>
  <c r="I84" i="88"/>
  <c r="K84" i="88"/>
  <c r="J84" i="88"/>
  <c r="J71" i="88"/>
  <c r="I71" i="88"/>
  <c r="K71" i="88"/>
  <c r="J87" i="88"/>
  <c r="K87" i="88"/>
  <c r="I87" i="88"/>
  <c r="K70" i="88"/>
  <c r="J70" i="88"/>
  <c r="I70" i="88"/>
  <c r="K86" i="88"/>
  <c r="I86" i="88"/>
  <c r="J86" i="88"/>
  <c r="I100" i="88"/>
  <c r="K100" i="88"/>
  <c r="J100" i="88"/>
  <c r="I108" i="88"/>
  <c r="K108" i="88"/>
  <c r="J108" i="88"/>
  <c r="J105" i="88"/>
  <c r="K105" i="88"/>
  <c r="I105" i="88"/>
  <c r="K73" i="88"/>
  <c r="J73" i="88"/>
  <c r="I73" i="88"/>
  <c r="I89" i="88"/>
  <c r="K89" i="88"/>
  <c r="J89" i="88"/>
  <c r="J103" i="88"/>
  <c r="K103" i="88"/>
  <c r="I103" i="88"/>
  <c r="T92" i="88"/>
  <c r="T93" i="88"/>
  <c r="W37" i="88"/>
  <c r="T58" i="88"/>
  <c r="W20" i="88"/>
  <c r="T59" i="88"/>
  <c r="T54" i="88"/>
  <c r="T55" i="88"/>
  <c r="W18" i="88"/>
  <c r="T48" i="88"/>
  <c r="T49" i="88"/>
  <c r="W15" i="88"/>
  <c r="V15" i="88"/>
  <c r="X15" i="88" s="1"/>
  <c r="V16" i="88" a="1"/>
  <c r="T50" i="88"/>
  <c r="T51" i="88"/>
  <c r="W16" i="88"/>
  <c r="T84" i="88"/>
  <c r="T85" i="88"/>
  <c r="W33" i="88"/>
  <c r="T52" i="88"/>
  <c r="T53" i="88"/>
  <c r="W17" i="88"/>
  <c r="J57" i="88"/>
  <c r="U4" i="88"/>
  <c r="V4" i="88" s="1"/>
  <c r="J58" i="88"/>
  <c r="I64" i="88"/>
  <c r="K64" i="88"/>
  <c r="J64" i="88"/>
  <c r="K58" i="88"/>
  <c r="U6" i="88"/>
  <c r="V6" i="88" s="1"/>
  <c r="K57" i="88"/>
  <c r="I72" i="88"/>
  <c r="K72" i="88"/>
  <c r="J72" i="88"/>
  <c r="I88" i="88"/>
  <c r="K88" i="88"/>
  <c r="J88" i="88"/>
  <c r="J75" i="88"/>
  <c r="I75" i="88"/>
  <c r="K75" i="88"/>
  <c r="J91" i="88"/>
  <c r="K91" i="88"/>
  <c r="I91" i="88"/>
  <c r="K74" i="88"/>
  <c r="J74" i="88"/>
  <c r="I74" i="88"/>
  <c r="K90" i="88"/>
  <c r="I90" i="88"/>
  <c r="J90" i="88"/>
  <c r="K102" i="88"/>
  <c r="I102" i="88"/>
  <c r="J102" i="88"/>
  <c r="K110" i="88"/>
  <c r="I110" i="88"/>
  <c r="J110" i="88"/>
  <c r="J109" i="88"/>
  <c r="K109" i="88"/>
  <c r="I109" i="88"/>
  <c r="K77" i="88"/>
  <c r="J77" i="88"/>
  <c r="I77" i="88"/>
  <c r="I93" i="88"/>
  <c r="K93" i="88"/>
  <c r="J93" i="88"/>
  <c r="J107" i="88"/>
  <c r="K107" i="88"/>
  <c r="I107" i="88"/>
  <c r="T74" i="88"/>
  <c r="T75" i="88"/>
  <c r="W28" i="88"/>
  <c r="T78" i="87"/>
  <c r="T79" i="87"/>
  <c r="W30" i="87"/>
  <c r="T67" i="87"/>
  <c r="T66" i="87"/>
  <c r="W24" i="87"/>
  <c r="J71" i="87"/>
  <c r="I71" i="87"/>
  <c r="K71" i="87"/>
  <c r="J87" i="87"/>
  <c r="I87" i="87"/>
  <c r="K87" i="87"/>
  <c r="I72" i="87"/>
  <c r="K72" i="87"/>
  <c r="J72" i="87"/>
  <c r="I88" i="87"/>
  <c r="K88" i="87"/>
  <c r="J88" i="87"/>
  <c r="I112" i="87"/>
  <c r="K112" i="87"/>
  <c r="J112" i="87"/>
  <c r="I100" i="87"/>
  <c r="K100" i="87"/>
  <c r="J100" i="87"/>
  <c r="K74" i="87"/>
  <c r="I74" i="87"/>
  <c r="J74" i="87"/>
  <c r="K90" i="87"/>
  <c r="J90" i="87"/>
  <c r="I90" i="87"/>
  <c r="K106" i="87"/>
  <c r="I106" i="87"/>
  <c r="J106" i="87"/>
  <c r="J109" i="87"/>
  <c r="K109" i="87"/>
  <c r="I109" i="87"/>
  <c r="I77" i="87"/>
  <c r="K77" i="87"/>
  <c r="J77" i="87"/>
  <c r="J93" i="87"/>
  <c r="I93" i="87"/>
  <c r="K93" i="87"/>
  <c r="J107" i="87"/>
  <c r="I107" i="87"/>
  <c r="K107" i="87"/>
  <c r="T55" i="87"/>
  <c r="W18" i="87"/>
  <c r="T54" i="87"/>
  <c r="T63" i="87"/>
  <c r="T62" i="87"/>
  <c r="W22" i="87"/>
  <c r="T68" i="87"/>
  <c r="T69" i="87"/>
  <c r="W25" i="87"/>
  <c r="T49" i="87"/>
  <c r="V16" i="87" a="1"/>
  <c r="W15" i="87"/>
  <c r="T48" i="87"/>
  <c r="V15" i="87"/>
  <c r="X15" i="87" s="1"/>
  <c r="J75" i="87"/>
  <c r="I75" i="87"/>
  <c r="K75" i="87"/>
  <c r="K58" i="87"/>
  <c r="K57" i="87"/>
  <c r="U6" i="87"/>
  <c r="V6" i="87" s="1"/>
  <c r="J58" i="87"/>
  <c r="U4" i="87"/>
  <c r="V4" i="87" s="1"/>
  <c r="J57" i="87"/>
  <c r="J63" i="87"/>
  <c r="K63" i="87"/>
  <c r="I63" i="87"/>
  <c r="I76" i="87"/>
  <c r="K76" i="87"/>
  <c r="J76" i="87"/>
  <c r="J91" i="87"/>
  <c r="I91" i="87"/>
  <c r="K91" i="87"/>
  <c r="I92" i="87"/>
  <c r="K92" i="87"/>
  <c r="J92" i="87"/>
  <c r="I108" i="87"/>
  <c r="K108" i="87"/>
  <c r="J108" i="87"/>
  <c r="K78" i="87"/>
  <c r="I78" i="87"/>
  <c r="J78" i="87"/>
  <c r="K94" i="87"/>
  <c r="J94" i="87"/>
  <c r="I94" i="87"/>
  <c r="K110" i="87"/>
  <c r="I110" i="87"/>
  <c r="J110" i="87"/>
  <c r="J113" i="87"/>
  <c r="K113" i="87"/>
  <c r="I113" i="87"/>
  <c r="I81" i="87"/>
  <c r="K81" i="87"/>
  <c r="J81" i="87"/>
  <c r="I97" i="87"/>
  <c r="K97" i="87"/>
  <c r="J97" i="87"/>
  <c r="J111" i="87"/>
  <c r="I111" i="87"/>
  <c r="K111" i="87"/>
  <c r="W26" i="87"/>
  <c r="T76" i="87"/>
  <c r="T77" i="87"/>
  <c r="W29" i="87"/>
  <c r="J79" i="87"/>
  <c r="I79" i="87"/>
  <c r="K79" i="87"/>
  <c r="J67" i="87"/>
  <c r="K67" i="87"/>
  <c r="I67" i="87"/>
  <c r="I80" i="87"/>
  <c r="K80" i="87"/>
  <c r="J80" i="87"/>
  <c r="K66" i="87"/>
  <c r="J66" i="87"/>
  <c r="I66" i="87"/>
  <c r="I96" i="87"/>
  <c r="J96" i="87"/>
  <c r="K96" i="87"/>
  <c r="I65" i="87"/>
  <c r="K65" i="87"/>
  <c r="J65" i="87"/>
  <c r="K82" i="87"/>
  <c r="I82" i="87"/>
  <c r="J82" i="87"/>
  <c r="K98" i="87"/>
  <c r="I98" i="87"/>
  <c r="J98" i="87"/>
  <c r="J101" i="87"/>
  <c r="K101" i="87"/>
  <c r="I101" i="87"/>
  <c r="I69" i="87"/>
  <c r="K69" i="87"/>
  <c r="J69" i="87"/>
  <c r="I85" i="87"/>
  <c r="K85" i="87"/>
  <c r="J85" i="87"/>
  <c r="J99" i="87"/>
  <c r="I99" i="87"/>
  <c r="K99" i="87"/>
  <c r="T84" i="87"/>
  <c r="T85" i="87"/>
  <c r="W33" i="87"/>
  <c r="T82" i="87"/>
  <c r="W32" i="87"/>
  <c r="T83" i="87"/>
  <c r="T86" i="87"/>
  <c r="T87" i="87"/>
  <c r="W34" i="87"/>
  <c r="T92" i="87"/>
  <c r="T93" i="87"/>
  <c r="W37" i="87"/>
  <c r="I64" i="87"/>
  <c r="J64" i="87"/>
  <c r="K64" i="87"/>
  <c r="J83" i="87"/>
  <c r="I83" i="87"/>
  <c r="K83" i="87"/>
  <c r="I68" i="87"/>
  <c r="K68" i="87"/>
  <c r="J68" i="87"/>
  <c r="I84" i="87"/>
  <c r="K84" i="87"/>
  <c r="J84" i="87"/>
  <c r="I104" i="87"/>
  <c r="K104" i="87"/>
  <c r="J104" i="87"/>
  <c r="J95" i="87"/>
  <c r="I95" i="87"/>
  <c r="K95" i="87"/>
  <c r="K70" i="87"/>
  <c r="I70" i="87"/>
  <c r="J70" i="87"/>
  <c r="K86" i="87"/>
  <c r="I86" i="87"/>
  <c r="J86" i="87"/>
  <c r="K102" i="87"/>
  <c r="I102" i="87"/>
  <c r="J102" i="87"/>
  <c r="J105" i="87"/>
  <c r="K105" i="87"/>
  <c r="I105" i="87"/>
  <c r="I73" i="87"/>
  <c r="K73" i="87"/>
  <c r="J73" i="87"/>
  <c r="J89" i="87"/>
  <c r="I89" i="87"/>
  <c r="K89" i="87"/>
  <c r="J103" i="87"/>
  <c r="I103" i="87"/>
  <c r="K103" i="87"/>
  <c r="T57" i="87"/>
  <c r="T56" i="87"/>
  <c r="W19" i="87"/>
  <c r="T72" i="87"/>
  <c r="T73" i="87"/>
  <c r="W27" i="87"/>
  <c r="U36" i="45"/>
  <c r="U18" i="45"/>
  <c r="T55" i="45" s="1"/>
  <c r="U23" i="45"/>
  <c r="T65" i="45" s="1"/>
  <c r="U20" i="45"/>
  <c r="T58" i="45" s="1"/>
  <c r="U25" i="45"/>
  <c r="U34" i="45"/>
  <c r="T86" i="45" s="1"/>
  <c r="U39" i="45"/>
  <c r="W39" i="45" s="1"/>
  <c r="I108" i="45"/>
  <c r="T90" i="86"/>
  <c r="T91" i="86"/>
  <c r="W36" i="86"/>
  <c r="T96" i="86"/>
  <c r="T97" i="86"/>
  <c r="W39" i="86"/>
  <c r="K78" i="86"/>
  <c r="I78" i="86"/>
  <c r="J78" i="86"/>
  <c r="K94" i="86"/>
  <c r="I94" i="86"/>
  <c r="J94" i="86"/>
  <c r="I104" i="86"/>
  <c r="K104" i="86"/>
  <c r="J104" i="86"/>
  <c r="I112" i="86"/>
  <c r="K112" i="86"/>
  <c r="J112" i="86"/>
  <c r="I67" i="86"/>
  <c r="K67" i="86"/>
  <c r="J67" i="86"/>
  <c r="K68" i="86"/>
  <c r="J68" i="86"/>
  <c r="I68" i="86"/>
  <c r="I80" i="86"/>
  <c r="K80" i="86"/>
  <c r="J80" i="86"/>
  <c r="I96" i="86"/>
  <c r="K96" i="86"/>
  <c r="J96" i="86"/>
  <c r="J83" i="86"/>
  <c r="K83" i="86"/>
  <c r="I83" i="86"/>
  <c r="J101" i="86"/>
  <c r="K101" i="86"/>
  <c r="I101" i="86"/>
  <c r="J77" i="86"/>
  <c r="K77" i="86"/>
  <c r="I77" i="86"/>
  <c r="J93" i="86"/>
  <c r="K93" i="86"/>
  <c r="I93" i="86"/>
  <c r="J107" i="86"/>
  <c r="K107" i="86"/>
  <c r="I107" i="86"/>
  <c r="T94" i="86"/>
  <c r="T95" i="86"/>
  <c r="W38" i="86"/>
  <c r="T57" i="86"/>
  <c r="T56" i="86"/>
  <c r="W19" i="86"/>
  <c r="T70" i="86"/>
  <c r="T71" i="86"/>
  <c r="W26" i="86"/>
  <c r="V16" i="86" a="1"/>
  <c r="K82" i="86"/>
  <c r="I82" i="86"/>
  <c r="J82" i="86"/>
  <c r="K72" i="86"/>
  <c r="J72" i="86"/>
  <c r="I72" i="86"/>
  <c r="K65" i="86"/>
  <c r="J65" i="86"/>
  <c r="I65" i="86"/>
  <c r="K98" i="86"/>
  <c r="I98" i="86"/>
  <c r="J98" i="86"/>
  <c r="K106" i="86"/>
  <c r="I106" i="86"/>
  <c r="J106" i="86"/>
  <c r="J58" i="86"/>
  <c r="J57" i="86"/>
  <c r="U4" i="86"/>
  <c r="V4" i="86" s="1"/>
  <c r="I70" i="86"/>
  <c r="J70" i="86"/>
  <c r="K70" i="86"/>
  <c r="J69" i="86"/>
  <c r="I69" i="86"/>
  <c r="K69" i="86"/>
  <c r="I84" i="86"/>
  <c r="K84" i="86"/>
  <c r="J84" i="86"/>
  <c r="K71" i="86"/>
  <c r="J71" i="86"/>
  <c r="I71" i="86"/>
  <c r="J87" i="86"/>
  <c r="K87" i="86"/>
  <c r="I87" i="86"/>
  <c r="J105" i="86"/>
  <c r="K105" i="86"/>
  <c r="I105" i="86"/>
  <c r="J81" i="86"/>
  <c r="K81" i="86"/>
  <c r="I81" i="86"/>
  <c r="J97" i="86"/>
  <c r="K97" i="86"/>
  <c r="I97" i="86"/>
  <c r="J111" i="86"/>
  <c r="K111" i="86"/>
  <c r="I111" i="86"/>
  <c r="T53" i="86"/>
  <c r="W17" i="86"/>
  <c r="T52" i="86"/>
  <c r="T54" i="86"/>
  <c r="T55" i="86"/>
  <c r="W18" i="86"/>
  <c r="T58" i="86"/>
  <c r="W20" i="86"/>
  <c r="T59" i="86"/>
  <c r="T74" i="86"/>
  <c r="W28" i="86"/>
  <c r="T75" i="86"/>
  <c r="V15" i="86"/>
  <c r="X15" i="86" s="1"/>
  <c r="K86" i="86"/>
  <c r="I86" i="86"/>
  <c r="J86" i="86"/>
  <c r="I100" i="86"/>
  <c r="K100" i="86"/>
  <c r="J100" i="86"/>
  <c r="I108" i="86"/>
  <c r="K108" i="86"/>
  <c r="J108" i="86"/>
  <c r="K57" i="86"/>
  <c r="K58" i="86"/>
  <c r="U6" i="86"/>
  <c r="V6" i="86" s="1"/>
  <c r="I74" i="86"/>
  <c r="J74" i="86"/>
  <c r="K74" i="86"/>
  <c r="J73" i="86"/>
  <c r="I73" i="86"/>
  <c r="K73" i="86"/>
  <c r="I88" i="86"/>
  <c r="K88" i="86"/>
  <c r="J88" i="86"/>
  <c r="K75" i="86"/>
  <c r="J75" i="86"/>
  <c r="I75" i="86"/>
  <c r="J91" i="86"/>
  <c r="K91" i="86"/>
  <c r="I91" i="86"/>
  <c r="J109" i="86"/>
  <c r="K109" i="86"/>
  <c r="I109" i="86"/>
  <c r="J85" i="86"/>
  <c r="K85" i="86"/>
  <c r="I85" i="86"/>
  <c r="J99" i="86"/>
  <c r="K99" i="86"/>
  <c r="I99" i="86"/>
  <c r="T84" i="86"/>
  <c r="T85" i="86"/>
  <c r="W33" i="86"/>
  <c r="T76" i="86"/>
  <c r="T77" i="86"/>
  <c r="W29" i="86"/>
  <c r="W27" i="86"/>
  <c r="T88" i="86"/>
  <c r="T89" i="86"/>
  <c r="W35" i="86"/>
  <c r="J66" i="86"/>
  <c r="I66" i="86"/>
  <c r="K66" i="86"/>
  <c r="K90" i="86"/>
  <c r="I90" i="86"/>
  <c r="J90" i="86"/>
  <c r="K102" i="86"/>
  <c r="I102" i="86"/>
  <c r="J102" i="86"/>
  <c r="K110" i="86"/>
  <c r="I110" i="86"/>
  <c r="J110" i="86"/>
  <c r="I63" i="86"/>
  <c r="K63" i="86"/>
  <c r="J63" i="86"/>
  <c r="K64" i="86"/>
  <c r="J64" i="86"/>
  <c r="I64" i="86"/>
  <c r="I76" i="86"/>
  <c r="K76" i="86"/>
  <c r="J76" i="86"/>
  <c r="I92" i="86"/>
  <c r="K92" i="86"/>
  <c r="J92" i="86"/>
  <c r="J79" i="86"/>
  <c r="K79" i="86"/>
  <c r="I79" i="86"/>
  <c r="J95" i="86"/>
  <c r="K95" i="86"/>
  <c r="I95" i="86"/>
  <c r="J113" i="86"/>
  <c r="K113" i="86"/>
  <c r="I113" i="86"/>
  <c r="J89" i="86"/>
  <c r="K89" i="86"/>
  <c r="I89" i="86"/>
  <c r="J103" i="86"/>
  <c r="K103" i="86"/>
  <c r="I103" i="86"/>
  <c r="T69" i="86"/>
  <c r="W25" i="86"/>
  <c r="T68" i="86"/>
  <c r="T65" i="86"/>
  <c r="T64" i="86"/>
  <c r="W23" i="86"/>
  <c r="J80" i="45"/>
  <c r="K109" i="45"/>
  <c r="I96" i="45"/>
  <c r="J84" i="45"/>
  <c r="K68" i="45"/>
  <c r="I89" i="45"/>
  <c r="K69" i="45"/>
  <c r="I101" i="45"/>
  <c r="I105" i="45"/>
  <c r="K96" i="45"/>
  <c r="K108" i="45"/>
  <c r="I68" i="45"/>
  <c r="I109" i="45"/>
  <c r="I69" i="45"/>
  <c r="J76" i="45"/>
  <c r="K84" i="45"/>
  <c r="I76" i="45"/>
  <c r="U6" i="45"/>
  <c r="V6" i="45" s="1"/>
  <c r="K58" i="45"/>
  <c r="K57" i="45"/>
  <c r="J85" i="45"/>
  <c r="I85" i="45"/>
  <c r="K85" i="45"/>
  <c r="U4" i="45"/>
  <c r="V4" i="45" s="1"/>
  <c r="J58" i="45"/>
  <c r="J57" i="45"/>
  <c r="J93" i="45"/>
  <c r="K93" i="45"/>
  <c r="K92" i="45"/>
  <c r="J77" i="45"/>
  <c r="I77" i="45"/>
  <c r="K77" i="45"/>
  <c r="I92" i="45"/>
  <c r="K105" i="45"/>
  <c r="I66" i="45"/>
  <c r="K66" i="45"/>
  <c r="J66" i="45"/>
  <c r="I82" i="45"/>
  <c r="K82" i="45"/>
  <c r="J82" i="45"/>
  <c r="I98" i="45"/>
  <c r="K98" i="45"/>
  <c r="J98" i="45"/>
  <c r="J67" i="45"/>
  <c r="K67" i="45"/>
  <c r="I67" i="45"/>
  <c r="J83" i="45"/>
  <c r="K83" i="45"/>
  <c r="I83" i="45"/>
  <c r="J99" i="45"/>
  <c r="K99" i="45"/>
  <c r="I99" i="45"/>
  <c r="U28" i="45"/>
  <c r="U17" i="45"/>
  <c r="U33" i="45"/>
  <c r="U26" i="45"/>
  <c r="W27" i="45" s="1"/>
  <c r="U15" i="45"/>
  <c r="U31" i="45"/>
  <c r="J81" i="45"/>
  <c r="I81" i="45"/>
  <c r="K81" i="45"/>
  <c r="J113" i="45"/>
  <c r="K113" i="45"/>
  <c r="I113" i="45"/>
  <c r="J71" i="45"/>
  <c r="I71" i="45"/>
  <c r="K71" i="45"/>
  <c r="J87" i="45"/>
  <c r="I87" i="45"/>
  <c r="K87" i="45"/>
  <c r="J103" i="45"/>
  <c r="K103" i="45"/>
  <c r="I103" i="45"/>
  <c r="I70" i="45"/>
  <c r="K70" i="45"/>
  <c r="J70" i="45"/>
  <c r="I86" i="45"/>
  <c r="K86" i="45"/>
  <c r="J86" i="45"/>
  <c r="I102" i="45"/>
  <c r="K102" i="45"/>
  <c r="J102" i="45"/>
  <c r="U16" i="45"/>
  <c r="U32" i="45"/>
  <c r="U21" i="45"/>
  <c r="U37" i="45"/>
  <c r="W38" i="45" s="1"/>
  <c r="U30" i="45"/>
  <c r="U19" i="45"/>
  <c r="W20" i="45" s="1"/>
  <c r="U35" i="45"/>
  <c r="W36" i="45" s="1"/>
  <c r="I74" i="45"/>
  <c r="K74" i="45"/>
  <c r="J74" i="45"/>
  <c r="I90" i="45"/>
  <c r="K90" i="45"/>
  <c r="J90" i="45"/>
  <c r="I106" i="45"/>
  <c r="K106" i="45"/>
  <c r="J106" i="45"/>
  <c r="J75" i="45"/>
  <c r="K75" i="45"/>
  <c r="I75" i="45"/>
  <c r="J91" i="45"/>
  <c r="K91" i="45"/>
  <c r="I91" i="45"/>
  <c r="J107" i="45"/>
  <c r="K107" i="45"/>
  <c r="I107" i="45"/>
  <c r="T59" i="45"/>
  <c r="T91" i="45"/>
  <c r="T90" i="45"/>
  <c r="T69" i="45"/>
  <c r="T68" i="45"/>
  <c r="W25" i="45"/>
  <c r="T87" i="45"/>
  <c r="T64" i="45"/>
  <c r="W23" i="45"/>
  <c r="T96" i="45"/>
  <c r="T97" i="45"/>
  <c r="J65" i="45"/>
  <c r="I65" i="45"/>
  <c r="K65" i="45"/>
  <c r="J97" i="45"/>
  <c r="I97" i="45"/>
  <c r="K97" i="45"/>
  <c r="J63" i="45"/>
  <c r="I63" i="45"/>
  <c r="K63" i="45"/>
  <c r="J79" i="45"/>
  <c r="I79" i="45"/>
  <c r="K79" i="45"/>
  <c r="J95" i="45"/>
  <c r="K95" i="45"/>
  <c r="I95" i="45"/>
  <c r="J111" i="45"/>
  <c r="K111" i="45"/>
  <c r="I111" i="45"/>
  <c r="I78" i="45"/>
  <c r="J78" i="45"/>
  <c r="K78" i="45"/>
  <c r="I94" i="45"/>
  <c r="J94" i="45"/>
  <c r="K94" i="45"/>
  <c r="I110" i="45"/>
  <c r="J110" i="45"/>
  <c r="K110" i="45"/>
  <c r="T67" i="45"/>
  <c r="W24" i="45"/>
  <c r="T66" i="45"/>
  <c r="T47" i="45"/>
  <c r="T46" i="45"/>
  <c r="T77" i="45"/>
  <c r="T76" i="45"/>
  <c r="W29" i="45"/>
  <c r="T62" i="45"/>
  <c r="T63" i="45"/>
  <c r="T94" i="45"/>
  <c r="T95" i="45"/>
  <c r="T72" i="45"/>
  <c r="T73" i="45"/>
  <c r="T47" i="44"/>
  <c r="X14" i="44"/>
  <c r="T46" i="44"/>
  <c r="U35" i="44"/>
  <c r="U33" i="44"/>
  <c r="U31" i="44"/>
  <c r="U29" i="44"/>
  <c r="U27" i="44"/>
  <c r="U25" i="44"/>
  <c r="U23" i="44"/>
  <c r="U21" i="44"/>
  <c r="U19" i="44"/>
  <c r="U17" i="44"/>
  <c r="U38" i="44"/>
  <c r="U36" i="44"/>
  <c r="U34" i="44"/>
  <c r="U32" i="44"/>
  <c r="U30" i="44"/>
  <c r="U28" i="44"/>
  <c r="U26" i="44"/>
  <c r="U24" i="44"/>
  <c r="U22" i="44"/>
  <c r="U20" i="44"/>
  <c r="U18" i="44"/>
  <c r="U15" i="44"/>
  <c r="U39" i="44"/>
  <c r="U16" i="44"/>
  <c r="U37" i="44"/>
  <c r="F57" i="44"/>
  <c r="B23" i="43"/>
  <c r="B22" i="43"/>
  <c r="B25" i="43"/>
  <c r="B24" i="43"/>
  <c r="B21" i="43"/>
  <c r="H58" i="44"/>
  <c r="B13" i="43"/>
  <c r="E31" i="45"/>
  <c r="F28" i="45"/>
  <c r="E30" i="45"/>
  <c r="F27" i="45"/>
  <c r="V16" i="90" l="1"/>
  <c r="X16" i="90" s="1"/>
  <c r="V36" i="90"/>
  <c r="X36" i="90" s="1"/>
  <c r="V33" i="90"/>
  <c r="X33" i="90" s="1"/>
  <c r="V30" i="90"/>
  <c r="X30" i="90" s="1"/>
  <c r="V27" i="90"/>
  <c r="X27" i="90" s="1"/>
  <c r="E106" i="120"/>
  <c r="T65" i="115"/>
  <c r="W23" i="115"/>
  <c r="T64" i="115"/>
  <c r="W21" i="115"/>
  <c r="T60" i="115"/>
  <c r="T61" i="115"/>
  <c r="T95" i="115"/>
  <c r="T94" i="115"/>
  <c r="W38" i="115"/>
  <c r="T89" i="115"/>
  <c r="T88" i="115"/>
  <c r="W35" i="115"/>
  <c r="T80" i="115"/>
  <c r="T81" i="115"/>
  <c r="W31" i="115"/>
  <c r="W37" i="115"/>
  <c r="T91" i="115"/>
  <c r="T90" i="115"/>
  <c r="W36" i="115"/>
  <c r="T72" i="115"/>
  <c r="T73" i="115"/>
  <c r="W27" i="115"/>
  <c r="T96" i="115"/>
  <c r="T97" i="115"/>
  <c r="W39" i="115"/>
  <c r="T83" i="115"/>
  <c r="T82" i="115"/>
  <c r="W33" i="115"/>
  <c r="W32" i="115"/>
  <c r="T63" i="115"/>
  <c r="T62" i="115"/>
  <c r="W22" i="115"/>
  <c r="T79" i="115"/>
  <c r="T78" i="115"/>
  <c r="W30" i="115"/>
  <c r="T56" i="115"/>
  <c r="T57" i="115"/>
  <c r="W19" i="115"/>
  <c r="T59" i="115"/>
  <c r="W20" i="115"/>
  <c r="T58" i="115"/>
  <c r="W18" i="115"/>
  <c r="T54" i="115"/>
  <c r="T55" i="115"/>
  <c r="T75" i="115"/>
  <c r="T74" i="115"/>
  <c r="W28" i="115"/>
  <c r="T51" i="115"/>
  <c r="W16" i="115"/>
  <c r="T50" i="115"/>
  <c r="W17" i="115"/>
  <c r="T70" i="115"/>
  <c r="W26" i="115"/>
  <c r="T71" i="115"/>
  <c r="W34" i="115"/>
  <c r="T87" i="115"/>
  <c r="T86" i="115"/>
  <c r="T68" i="115"/>
  <c r="W25" i="115"/>
  <c r="T69" i="115"/>
  <c r="T48" i="115"/>
  <c r="V15" i="115"/>
  <c r="X15" i="115" s="1"/>
  <c r="T49" i="115"/>
  <c r="V16" i="115" a="1"/>
  <c r="W15" i="115"/>
  <c r="T66" i="115"/>
  <c r="T67" i="115"/>
  <c r="W24" i="115"/>
  <c r="T76" i="115"/>
  <c r="W29" i="115"/>
  <c r="T77" i="115"/>
  <c r="T87" i="110"/>
  <c r="T86" i="110"/>
  <c r="W34" i="110"/>
  <c r="W18" i="110"/>
  <c r="T55" i="110"/>
  <c r="T54" i="110"/>
  <c r="T72" i="110"/>
  <c r="W27" i="110"/>
  <c r="T73" i="110"/>
  <c r="T79" i="110"/>
  <c r="T78" i="110"/>
  <c r="W30" i="110"/>
  <c r="T74" i="110"/>
  <c r="W28" i="110"/>
  <c r="T75" i="110"/>
  <c r="W37" i="110"/>
  <c r="T92" i="110"/>
  <c r="T93" i="110"/>
  <c r="W19" i="110"/>
  <c r="T56" i="110"/>
  <c r="T57" i="110"/>
  <c r="W36" i="110"/>
  <c r="T91" i="110"/>
  <c r="T90" i="110"/>
  <c r="T80" i="110"/>
  <c r="T81" i="110"/>
  <c r="W31" i="110"/>
  <c r="W22" i="110"/>
  <c r="T63" i="110"/>
  <c r="T62" i="110"/>
  <c r="T60" i="110"/>
  <c r="T61" i="110"/>
  <c r="W21" i="110"/>
  <c r="T83" i="110"/>
  <c r="T82" i="110"/>
  <c r="W32" i="110"/>
  <c r="T84" i="110"/>
  <c r="T85" i="110"/>
  <c r="W33" i="110"/>
  <c r="T71" i="110"/>
  <c r="T70" i="110"/>
  <c r="W26" i="110"/>
  <c r="T76" i="110"/>
  <c r="W29" i="110"/>
  <c r="T77" i="110"/>
  <c r="T53" i="110"/>
  <c r="T52" i="110"/>
  <c r="W17" i="110"/>
  <c r="T88" i="110"/>
  <c r="T89" i="110"/>
  <c r="W35" i="110"/>
  <c r="T64" i="110"/>
  <c r="T65" i="110"/>
  <c r="W23" i="110"/>
  <c r="T94" i="110"/>
  <c r="W38" i="110"/>
  <c r="T95" i="110"/>
  <c r="T96" i="110"/>
  <c r="T97" i="110"/>
  <c r="W39" i="110"/>
  <c r="T51" i="110"/>
  <c r="T50" i="110"/>
  <c r="W16" i="110"/>
  <c r="V16" i="110" a="1"/>
  <c r="W15" i="110"/>
  <c r="T48" i="110"/>
  <c r="V15" i="110"/>
  <c r="X15" i="110" s="1"/>
  <c r="T49" i="110"/>
  <c r="T66" i="110"/>
  <c r="T67" i="110"/>
  <c r="W24" i="110"/>
  <c r="T58" i="110"/>
  <c r="T59" i="110"/>
  <c r="W20" i="110"/>
  <c r="T69" i="110"/>
  <c r="W25" i="110"/>
  <c r="T68" i="110"/>
  <c r="T57" i="107"/>
  <c r="T56" i="107"/>
  <c r="W19" i="107"/>
  <c r="T66" i="107"/>
  <c r="T67" i="107"/>
  <c r="W24" i="107"/>
  <c r="T75" i="107"/>
  <c r="W28" i="107"/>
  <c r="T74" i="107"/>
  <c r="T64" i="107"/>
  <c r="W23" i="107"/>
  <c r="T65" i="107"/>
  <c r="T52" i="107"/>
  <c r="W17" i="107"/>
  <c r="T53" i="107"/>
  <c r="T94" i="107"/>
  <c r="W38" i="107"/>
  <c r="T95" i="107"/>
  <c r="W39" i="107"/>
  <c r="T97" i="107"/>
  <c r="T96" i="107"/>
  <c r="W29" i="107"/>
  <c r="T76" i="107"/>
  <c r="T77" i="107"/>
  <c r="T83" i="107"/>
  <c r="T82" i="107"/>
  <c r="W32" i="107"/>
  <c r="T80" i="107"/>
  <c r="T81" i="107"/>
  <c r="W31" i="107"/>
  <c r="T87" i="107"/>
  <c r="W34" i="107"/>
  <c r="T86" i="107"/>
  <c r="T92" i="107"/>
  <c r="T93" i="107"/>
  <c r="W37" i="107"/>
  <c r="W35" i="107"/>
  <c r="T88" i="107"/>
  <c r="T89" i="107"/>
  <c r="W20" i="107"/>
  <c r="T58" i="107"/>
  <c r="T59" i="107"/>
  <c r="T60" i="107"/>
  <c r="W21" i="107"/>
  <c r="T61" i="107"/>
  <c r="T84" i="107"/>
  <c r="T85" i="107"/>
  <c r="W33" i="107"/>
  <c r="T63" i="107"/>
  <c r="T62" i="107"/>
  <c r="W22" i="107"/>
  <c r="W26" i="107"/>
  <c r="T70" i="107"/>
  <c r="T71" i="107"/>
  <c r="W36" i="107"/>
  <c r="T90" i="107"/>
  <c r="T91" i="107"/>
  <c r="T78" i="107"/>
  <c r="T79" i="107"/>
  <c r="W30" i="107"/>
  <c r="T68" i="107"/>
  <c r="T69" i="107"/>
  <c r="W25" i="107"/>
  <c r="T50" i="107"/>
  <c r="W16" i="107"/>
  <c r="T51" i="107"/>
  <c r="T72" i="107"/>
  <c r="T73" i="107"/>
  <c r="W27" i="107"/>
  <c r="V16" i="107" a="1"/>
  <c r="W15" i="107"/>
  <c r="T49" i="107"/>
  <c r="T48" i="107"/>
  <c r="V15" i="107"/>
  <c r="X15" i="107" s="1"/>
  <c r="T55" i="107"/>
  <c r="W18" i="107"/>
  <c r="T54" i="107"/>
  <c r="T83" i="104"/>
  <c r="W32" i="104"/>
  <c r="T82" i="104"/>
  <c r="T66" i="104"/>
  <c r="W24" i="104"/>
  <c r="T67" i="104"/>
  <c r="T68" i="104"/>
  <c r="T69" i="104"/>
  <c r="W25" i="104"/>
  <c r="T90" i="104"/>
  <c r="W36" i="104"/>
  <c r="T91" i="104"/>
  <c r="T50" i="104"/>
  <c r="T51" i="104"/>
  <c r="W16" i="104"/>
  <c r="T63" i="104"/>
  <c r="W22" i="104"/>
  <c r="T62" i="104"/>
  <c r="T71" i="104"/>
  <c r="W26" i="104"/>
  <c r="T70" i="104"/>
  <c r="W31" i="104"/>
  <c r="T80" i="104"/>
  <c r="T81" i="104"/>
  <c r="W20" i="104"/>
  <c r="T59" i="104"/>
  <c r="T58" i="104"/>
  <c r="T96" i="104"/>
  <c r="W39" i="104"/>
  <c r="T97" i="104"/>
  <c r="W23" i="104"/>
  <c r="T65" i="104"/>
  <c r="T64" i="104"/>
  <c r="T85" i="104"/>
  <c r="T84" i="104"/>
  <c r="W33" i="104"/>
  <c r="T77" i="104"/>
  <c r="W29" i="104"/>
  <c r="T76" i="104"/>
  <c r="W34" i="104"/>
  <c r="T86" i="104"/>
  <c r="T87" i="104"/>
  <c r="T94" i="104"/>
  <c r="T95" i="104"/>
  <c r="W38" i="104"/>
  <c r="T92" i="104"/>
  <c r="W37" i="104"/>
  <c r="T93" i="104"/>
  <c r="V16" i="104" a="1"/>
  <c r="W15" i="104"/>
  <c r="T49" i="104"/>
  <c r="V15" i="104"/>
  <c r="X15" i="104" s="1"/>
  <c r="T48" i="104"/>
  <c r="W35" i="104"/>
  <c r="T88" i="104"/>
  <c r="T89" i="104"/>
  <c r="T55" i="104"/>
  <c r="W18" i="104"/>
  <c r="T54" i="104"/>
  <c r="W21" i="104"/>
  <c r="T61" i="104"/>
  <c r="T60" i="104"/>
  <c r="T79" i="104"/>
  <c r="W30" i="104"/>
  <c r="T78" i="104"/>
  <c r="W17" i="104"/>
  <c r="T52" i="104"/>
  <c r="T53" i="104"/>
  <c r="T73" i="104"/>
  <c r="T72" i="104"/>
  <c r="W27" i="104"/>
  <c r="T56" i="104"/>
  <c r="T57" i="104"/>
  <c r="W19" i="104"/>
  <c r="T75" i="104"/>
  <c r="T74" i="104"/>
  <c r="W28" i="104"/>
  <c r="W21" i="99"/>
  <c r="T60" i="99"/>
  <c r="T61" i="99"/>
  <c r="T81" i="99"/>
  <c r="T80" i="99"/>
  <c r="W31" i="99"/>
  <c r="W17" i="99"/>
  <c r="T52" i="99"/>
  <c r="T53" i="99"/>
  <c r="T90" i="99"/>
  <c r="W36" i="99"/>
  <c r="T91" i="99"/>
  <c r="W26" i="99"/>
  <c r="T71" i="99"/>
  <c r="T70" i="99"/>
  <c r="T68" i="99"/>
  <c r="T69" i="99"/>
  <c r="W25" i="99"/>
  <c r="T88" i="99"/>
  <c r="W35" i="99"/>
  <c r="T89" i="99"/>
  <c r="W33" i="99"/>
  <c r="T85" i="99"/>
  <c r="T84" i="99"/>
  <c r="T96" i="99"/>
  <c r="T97" i="99"/>
  <c r="W39" i="99"/>
  <c r="W23" i="99"/>
  <c r="T64" i="99"/>
  <c r="T65" i="99"/>
  <c r="T77" i="99"/>
  <c r="T76" i="99"/>
  <c r="W29" i="99"/>
  <c r="T58" i="99"/>
  <c r="W20" i="99"/>
  <c r="T59" i="99"/>
  <c r="W34" i="99"/>
  <c r="T86" i="99"/>
  <c r="T87" i="99"/>
  <c r="T67" i="99"/>
  <c r="T66" i="99"/>
  <c r="W24" i="99"/>
  <c r="W18" i="99"/>
  <c r="T54" i="99"/>
  <c r="T55" i="99"/>
  <c r="T74" i="99"/>
  <c r="T75" i="99"/>
  <c r="W28" i="99"/>
  <c r="T62" i="99"/>
  <c r="W22" i="99"/>
  <c r="T63" i="99"/>
  <c r="T57" i="99"/>
  <c r="T56" i="99"/>
  <c r="W19" i="99"/>
  <c r="T48" i="99"/>
  <c r="W15" i="99"/>
  <c r="V15" i="99"/>
  <c r="X15" i="99" s="1"/>
  <c r="V16" i="99" a="1"/>
  <c r="T49" i="99"/>
  <c r="W37" i="99"/>
  <c r="T92" i="99"/>
  <c r="T93" i="99"/>
  <c r="T82" i="99"/>
  <c r="W32" i="99"/>
  <c r="T83" i="99"/>
  <c r="T73" i="99"/>
  <c r="W27" i="99"/>
  <c r="T72" i="99"/>
  <c r="T95" i="99"/>
  <c r="W38" i="99"/>
  <c r="T94" i="99"/>
  <c r="T50" i="99"/>
  <c r="T51" i="99"/>
  <c r="W16" i="99"/>
  <c r="T79" i="99"/>
  <c r="T78" i="99"/>
  <c r="W30" i="99"/>
  <c r="W18" i="45"/>
  <c r="W34" i="45"/>
  <c r="T54" i="45"/>
  <c r="K90" i="44"/>
  <c r="J90" i="44"/>
  <c r="J94" i="44"/>
  <c r="K94" i="44"/>
  <c r="K67" i="44"/>
  <c r="J67" i="44"/>
  <c r="K102" i="44"/>
  <c r="J102" i="44"/>
  <c r="J77" i="44"/>
  <c r="K77" i="44"/>
  <c r="J66" i="44"/>
  <c r="K66" i="44"/>
  <c r="J65" i="44"/>
  <c r="K65" i="44"/>
  <c r="K95" i="44"/>
  <c r="J95" i="44"/>
  <c r="K75" i="44"/>
  <c r="J75" i="44"/>
  <c r="K103" i="44"/>
  <c r="J103" i="44"/>
  <c r="K69" i="44"/>
  <c r="J69" i="44"/>
  <c r="J97" i="44"/>
  <c r="K97" i="44"/>
  <c r="K64" i="44"/>
  <c r="J64" i="44"/>
  <c r="K92" i="44"/>
  <c r="J92" i="44"/>
  <c r="K104" i="44"/>
  <c r="J104" i="44"/>
  <c r="K78" i="44"/>
  <c r="J78" i="44"/>
  <c r="J74" i="44"/>
  <c r="K74" i="44"/>
  <c r="J86" i="44"/>
  <c r="K86" i="44"/>
  <c r="J106" i="44"/>
  <c r="K106" i="44"/>
  <c r="J73" i="44"/>
  <c r="K73" i="44"/>
  <c r="K101" i="44"/>
  <c r="J101" i="44"/>
  <c r="J81" i="44"/>
  <c r="K81" i="44"/>
  <c r="K111" i="44"/>
  <c r="J111" i="44"/>
  <c r="K76" i="44"/>
  <c r="J76" i="44"/>
  <c r="J105" i="44"/>
  <c r="K105" i="44"/>
  <c r="K71" i="44"/>
  <c r="J71" i="44"/>
  <c r="K100" i="44"/>
  <c r="J100" i="44"/>
  <c r="J109" i="44"/>
  <c r="K109" i="44"/>
  <c r="K83" i="44"/>
  <c r="J83" i="44"/>
  <c r="K70" i="44"/>
  <c r="J70" i="44"/>
  <c r="K98" i="44"/>
  <c r="J98" i="44"/>
  <c r="J93" i="44"/>
  <c r="K93" i="44"/>
  <c r="K80" i="44"/>
  <c r="J80" i="44"/>
  <c r="K108" i="44"/>
  <c r="J108" i="44"/>
  <c r="J89" i="44"/>
  <c r="K89" i="44"/>
  <c r="K84" i="44"/>
  <c r="J84" i="44"/>
  <c r="K112" i="44"/>
  <c r="J112" i="44"/>
  <c r="K79" i="44"/>
  <c r="J79" i="44"/>
  <c r="K107" i="44"/>
  <c r="J107" i="44"/>
  <c r="K110" i="44"/>
  <c r="J110" i="44"/>
  <c r="K88" i="44"/>
  <c r="J88" i="44"/>
  <c r="K99" i="44"/>
  <c r="J99" i="44"/>
  <c r="K82" i="44"/>
  <c r="J82" i="44"/>
  <c r="K72" i="44"/>
  <c r="J72" i="44"/>
  <c r="K87" i="44"/>
  <c r="J87" i="44"/>
  <c r="K68" i="44"/>
  <c r="J68" i="44"/>
  <c r="K96" i="44"/>
  <c r="J96" i="44"/>
  <c r="K63" i="44"/>
  <c r="J63" i="44"/>
  <c r="K91" i="44"/>
  <c r="J91" i="44"/>
  <c r="K85" i="44"/>
  <c r="J85" i="44"/>
  <c r="J113" i="44"/>
  <c r="K113" i="44"/>
  <c r="U47" i="119"/>
  <c r="U48" i="119"/>
  <c r="V39" i="119"/>
  <c r="X39" i="119" s="1"/>
  <c r="V35" i="119"/>
  <c r="X35" i="119" s="1"/>
  <c r="V31" i="119"/>
  <c r="X31" i="119" s="1"/>
  <c r="V27" i="119"/>
  <c r="X27" i="119" s="1"/>
  <c r="V23" i="119"/>
  <c r="X23" i="119" s="1"/>
  <c r="V19" i="119"/>
  <c r="X19" i="119" s="1"/>
  <c r="V38" i="119"/>
  <c r="X38" i="119" s="1"/>
  <c r="V34" i="119"/>
  <c r="X34" i="119" s="1"/>
  <c r="V30" i="119"/>
  <c r="X30" i="119" s="1"/>
  <c r="V26" i="119"/>
  <c r="X26" i="119" s="1"/>
  <c r="V22" i="119"/>
  <c r="X22" i="119" s="1"/>
  <c r="V18" i="119"/>
  <c r="X18" i="119" s="1"/>
  <c r="V37" i="119"/>
  <c r="X37" i="119" s="1"/>
  <c r="V33" i="119"/>
  <c r="X33" i="119" s="1"/>
  <c r="V29" i="119"/>
  <c r="X29" i="119" s="1"/>
  <c r="V25" i="119"/>
  <c r="X25" i="119" s="1"/>
  <c r="V21" i="119"/>
  <c r="X21" i="119" s="1"/>
  <c r="V17" i="119"/>
  <c r="X17" i="119" s="1"/>
  <c r="V40" i="119"/>
  <c r="X40" i="119" s="1"/>
  <c r="U97" i="119" s="1"/>
  <c r="V36" i="119"/>
  <c r="X36" i="119" s="1"/>
  <c r="V32" i="119"/>
  <c r="X32" i="119" s="1"/>
  <c r="V28" i="119"/>
  <c r="X28" i="119" s="1"/>
  <c r="V24" i="119"/>
  <c r="X24" i="119" s="1"/>
  <c r="V20" i="119"/>
  <c r="X20" i="119" s="1"/>
  <c r="V16" i="119"/>
  <c r="X16" i="119" s="1"/>
  <c r="V40" i="118"/>
  <c r="X40" i="118" s="1"/>
  <c r="U97" i="118" s="1"/>
  <c r="V36" i="118"/>
  <c r="X36" i="118" s="1"/>
  <c r="V32" i="118"/>
  <c r="X32" i="118" s="1"/>
  <c r="V28" i="118"/>
  <c r="X28" i="118" s="1"/>
  <c r="V24" i="118"/>
  <c r="X24" i="118" s="1"/>
  <c r="V20" i="118"/>
  <c r="X20" i="118" s="1"/>
  <c r="V16" i="118"/>
  <c r="X16" i="118" s="1"/>
  <c r="V39" i="118"/>
  <c r="X39" i="118" s="1"/>
  <c r="V35" i="118"/>
  <c r="X35" i="118" s="1"/>
  <c r="V31" i="118"/>
  <c r="X31" i="118" s="1"/>
  <c r="V27" i="118"/>
  <c r="X27" i="118" s="1"/>
  <c r="V23" i="118"/>
  <c r="X23" i="118" s="1"/>
  <c r="V19" i="118"/>
  <c r="X19" i="118" s="1"/>
  <c r="V38" i="118"/>
  <c r="X38" i="118" s="1"/>
  <c r="V34" i="118"/>
  <c r="X34" i="118" s="1"/>
  <c r="V30" i="118"/>
  <c r="X30" i="118" s="1"/>
  <c r="V26" i="118"/>
  <c r="X26" i="118" s="1"/>
  <c r="V22" i="118"/>
  <c r="X22" i="118" s="1"/>
  <c r="V18" i="118"/>
  <c r="X18" i="118" s="1"/>
  <c r="V37" i="118"/>
  <c r="X37" i="118" s="1"/>
  <c r="V33" i="118"/>
  <c r="X33" i="118" s="1"/>
  <c r="V29" i="118"/>
  <c r="X29" i="118" s="1"/>
  <c r="V25" i="118"/>
  <c r="X25" i="118" s="1"/>
  <c r="V21" i="118"/>
  <c r="X21" i="118" s="1"/>
  <c r="V17" i="118"/>
  <c r="X17" i="118" s="1"/>
  <c r="U47" i="118"/>
  <c r="U48" i="118"/>
  <c r="U48" i="117"/>
  <c r="U47" i="117"/>
  <c r="V38" i="117"/>
  <c r="X38" i="117" s="1"/>
  <c r="V34" i="117"/>
  <c r="X34" i="117" s="1"/>
  <c r="V30" i="117"/>
  <c r="X30" i="117" s="1"/>
  <c r="V26" i="117"/>
  <c r="X26" i="117" s="1"/>
  <c r="V22" i="117"/>
  <c r="X22" i="117" s="1"/>
  <c r="V18" i="117"/>
  <c r="X18" i="117" s="1"/>
  <c r="V37" i="117"/>
  <c r="X37" i="117" s="1"/>
  <c r="V33" i="117"/>
  <c r="X33" i="117" s="1"/>
  <c r="V29" i="117"/>
  <c r="X29" i="117" s="1"/>
  <c r="V25" i="117"/>
  <c r="X25" i="117" s="1"/>
  <c r="V21" i="117"/>
  <c r="X21" i="117" s="1"/>
  <c r="V17" i="117"/>
  <c r="X17" i="117" s="1"/>
  <c r="V40" i="117"/>
  <c r="X40" i="117" s="1"/>
  <c r="U97" i="117" s="1"/>
  <c r="V36" i="117"/>
  <c r="X36" i="117" s="1"/>
  <c r="V32" i="117"/>
  <c r="X32" i="117" s="1"/>
  <c r="V28" i="117"/>
  <c r="X28" i="117" s="1"/>
  <c r="V24" i="117"/>
  <c r="X24" i="117" s="1"/>
  <c r="V20" i="117"/>
  <c r="X20" i="117" s="1"/>
  <c r="V16" i="117"/>
  <c r="X16" i="117" s="1"/>
  <c r="V39" i="117"/>
  <c r="X39" i="117" s="1"/>
  <c r="V35" i="117"/>
  <c r="X35" i="117" s="1"/>
  <c r="V31" i="117"/>
  <c r="X31" i="117" s="1"/>
  <c r="V27" i="117"/>
  <c r="X27" i="117" s="1"/>
  <c r="V23" i="117"/>
  <c r="X23" i="117" s="1"/>
  <c r="V19" i="117"/>
  <c r="X19" i="117" s="1"/>
  <c r="U62" i="116"/>
  <c r="U61" i="116"/>
  <c r="U93" i="116"/>
  <c r="U94" i="116"/>
  <c r="U79" i="116"/>
  <c r="U80" i="116"/>
  <c r="U58" i="116"/>
  <c r="U57" i="116"/>
  <c r="U89" i="116"/>
  <c r="U90" i="116"/>
  <c r="U67" i="116"/>
  <c r="U68" i="116"/>
  <c r="U69" i="116"/>
  <c r="U70" i="116"/>
  <c r="U56" i="116"/>
  <c r="U55" i="116"/>
  <c r="U87" i="116"/>
  <c r="U88" i="116"/>
  <c r="U65" i="116"/>
  <c r="U66" i="116"/>
  <c r="U75" i="116"/>
  <c r="U76" i="116"/>
  <c r="U77" i="116"/>
  <c r="U78" i="116"/>
  <c r="U64" i="116"/>
  <c r="U63" i="116"/>
  <c r="U95" i="116"/>
  <c r="U96" i="116"/>
  <c r="U73" i="116"/>
  <c r="U74" i="116"/>
  <c r="U51" i="116"/>
  <c r="U52" i="116"/>
  <c r="U83" i="116"/>
  <c r="U84" i="116"/>
  <c r="U54" i="116"/>
  <c r="U53" i="116"/>
  <c r="U85" i="116"/>
  <c r="U86" i="116"/>
  <c r="U71" i="116"/>
  <c r="U72" i="116"/>
  <c r="U50" i="116"/>
  <c r="U49" i="116"/>
  <c r="U81" i="116"/>
  <c r="U82" i="116"/>
  <c r="U59" i="116"/>
  <c r="U60" i="116"/>
  <c r="U91" i="116"/>
  <c r="U92" i="116"/>
  <c r="U66" i="113"/>
  <c r="U65" i="113"/>
  <c r="U75" i="113"/>
  <c r="U76" i="113"/>
  <c r="U62" i="113"/>
  <c r="U61" i="113"/>
  <c r="U93" i="113"/>
  <c r="U94" i="113"/>
  <c r="U79" i="113"/>
  <c r="U80" i="113"/>
  <c r="U74" i="113"/>
  <c r="U73" i="113"/>
  <c r="U52" i="113"/>
  <c r="U51" i="113"/>
  <c r="U83" i="113"/>
  <c r="U84" i="113"/>
  <c r="U70" i="113"/>
  <c r="U69" i="113"/>
  <c r="U55" i="113"/>
  <c r="U56" i="113"/>
  <c r="U87" i="113"/>
  <c r="U88" i="113"/>
  <c r="U50" i="113"/>
  <c r="U49" i="113"/>
  <c r="U82" i="113"/>
  <c r="U81" i="113"/>
  <c r="U59" i="113"/>
  <c r="U60" i="113"/>
  <c r="U91" i="113"/>
  <c r="U92" i="113"/>
  <c r="U78" i="113"/>
  <c r="U77" i="113"/>
  <c r="U63" i="113"/>
  <c r="U64" i="113"/>
  <c r="U95" i="113"/>
  <c r="U96" i="113"/>
  <c r="U58" i="113"/>
  <c r="U57" i="113"/>
  <c r="U89" i="113"/>
  <c r="U90" i="113"/>
  <c r="U67" i="113"/>
  <c r="U68" i="113"/>
  <c r="U54" i="113"/>
  <c r="U53" i="113"/>
  <c r="U86" i="113"/>
  <c r="U85" i="113"/>
  <c r="U71" i="113"/>
  <c r="U72" i="113"/>
  <c r="U59" i="112"/>
  <c r="U60" i="112"/>
  <c r="U91" i="112"/>
  <c r="U92" i="112"/>
  <c r="U77" i="112"/>
  <c r="U78" i="112"/>
  <c r="U63" i="112"/>
  <c r="U64" i="112"/>
  <c r="U95" i="112"/>
  <c r="U96" i="112"/>
  <c r="U73" i="112"/>
  <c r="U74" i="112"/>
  <c r="U67" i="112"/>
  <c r="U68" i="112"/>
  <c r="U53" i="112"/>
  <c r="U54" i="112"/>
  <c r="U85" i="112"/>
  <c r="U86" i="112"/>
  <c r="U71" i="112"/>
  <c r="U72" i="112"/>
  <c r="U49" i="112"/>
  <c r="U50" i="112"/>
  <c r="U81" i="112"/>
  <c r="U82" i="112"/>
  <c r="U75" i="112"/>
  <c r="U76" i="112"/>
  <c r="U61" i="112"/>
  <c r="U62" i="112"/>
  <c r="U93" i="112"/>
  <c r="U94" i="112"/>
  <c r="U79" i="112"/>
  <c r="U80" i="112"/>
  <c r="U57" i="112"/>
  <c r="U58" i="112"/>
  <c r="U89" i="112"/>
  <c r="U90" i="112"/>
  <c r="U51" i="112"/>
  <c r="U52" i="112"/>
  <c r="U83" i="112"/>
  <c r="U84" i="112"/>
  <c r="U69" i="112"/>
  <c r="U70" i="112"/>
  <c r="U55" i="112"/>
  <c r="U56" i="112"/>
  <c r="U87" i="112"/>
  <c r="U88" i="112"/>
  <c r="U66" i="112"/>
  <c r="U65" i="112"/>
  <c r="U73" i="111"/>
  <c r="U74" i="111"/>
  <c r="U58" i="111"/>
  <c r="U57" i="111"/>
  <c r="U77" i="111"/>
  <c r="U78" i="111"/>
  <c r="U69" i="111"/>
  <c r="U70" i="111"/>
  <c r="U79" i="111"/>
  <c r="U80" i="111"/>
  <c r="U83" i="111"/>
  <c r="U84" i="111"/>
  <c r="U66" i="111"/>
  <c r="U65" i="111"/>
  <c r="U51" i="111"/>
  <c r="U52" i="111"/>
  <c r="U89" i="111"/>
  <c r="U90" i="111"/>
  <c r="U81" i="111"/>
  <c r="U82" i="111"/>
  <c r="U87" i="111"/>
  <c r="U88" i="111"/>
  <c r="U55" i="111"/>
  <c r="U56" i="111"/>
  <c r="U93" i="111"/>
  <c r="U94" i="111"/>
  <c r="U75" i="111"/>
  <c r="U76" i="111"/>
  <c r="U59" i="111"/>
  <c r="U60" i="111"/>
  <c r="U53" i="111"/>
  <c r="U54" i="111"/>
  <c r="U91" i="111"/>
  <c r="U92" i="111"/>
  <c r="U95" i="111"/>
  <c r="U96" i="111"/>
  <c r="U63" i="111"/>
  <c r="U64" i="111"/>
  <c r="U49" i="111"/>
  <c r="U50" i="111"/>
  <c r="U85" i="111"/>
  <c r="U86" i="111"/>
  <c r="U68" i="111"/>
  <c r="U67" i="111"/>
  <c r="U61" i="111"/>
  <c r="U62" i="111"/>
  <c r="U71" i="111"/>
  <c r="U72" i="111"/>
  <c r="U47" i="109"/>
  <c r="U48" i="109"/>
  <c r="V38" i="109"/>
  <c r="X38" i="109" s="1"/>
  <c r="V34" i="109"/>
  <c r="X34" i="109" s="1"/>
  <c r="V30" i="109"/>
  <c r="X30" i="109" s="1"/>
  <c r="V26" i="109"/>
  <c r="X26" i="109" s="1"/>
  <c r="V22" i="109"/>
  <c r="X22" i="109" s="1"/>
  <c r="V18" i="109"/>
  <c r="X18" i="109" s="1"/>
  <c r="V37" i="109"/>
  <c r="X37" i="109" s="1"/>
  <c r="V33" i="109"/>
  <c r="X33" i="109" s="1"/>
  <c r="V29" i="109"/>
  <c r="X29" i="109" s="1"/>
  <c r="V25" i="109"/>
  <c r="X25" i="109" s="1"/>
  <c r="V21" i="109"/>
  <c r="X21" i="109" s="1"/>
  <c r="V17" i="109"/>
  <c r="X17" i="109" s="1"/>
  <c r="V40" i="109"/>
  <c r="X40" i="109" s="1"/>
  <c r="U97" i="109" s="1"/>
  <c r="V36" i="109"/>
  <c r="X36" i="109" s="1"/>
  <c r="V32" i="109"/>
  <c r="X32" i="109" s="1"/>
  <c r="V28" i="109"/>
  <c r="X28" i="109" s="1"/>
  <c r="V24" i="109"/>
  <c r="X24" i="109" s="1"/>
  <c r="V20" i="109"/>
  <c r="X20" i="109" s="1"/>
  <c r="V16" i="109"/>
  <c r="X16" i="109" s="1"/>
  <c r="V39" i="109"/>
  <c r="X39" i="109" s="1"/>
  <c r="V35" i="109"/>
  <c r="X35" i="109" s="1"/>
  <c r="V31" i="109"/>
  <c r="X31" i="109" s="1"/>
  <c r="V27" i="109"/>
  <c r="X27" i="109" s="1"/>
  <c r="V23" i="109"/>
  <c r="X23" i="109" s="1"/>
  <c r="V19" i="109"/>
  <c r="X19" i="109" s="1"/>
  <c r="U79" i="108"/>
  <c r="U80" i="108"/>
  <c r="U57" i="108"/>
  <c r="U58" i="108"/>
  <c r="U90" i="108"/>
  <c r="U89" i="108"/>
  <c r="U67" i="108"/>
  <c r="U68" i="108"/>
  <c r="U53" i="108"/>
  <c r="U54" i="108"/>
  <c r="U86" i="108"/>
  <c r="U85" i="108"/>
  <c r="U56" i="108"/>
  <c r="U55" i="108"/>
  <c r="U87" i="108"/>
  <c r="U88" i="108"/>
  <c r="U66" i="108"/>
  <c r="U65" i="108"/>
  <c r="U75" i="108"/>
  <c r="U76" i="108"/>
  <c r="U61" i="108"/>
  <c r="U62" i="108"/>
  <c r="U94" i="108"/>
  <c r="U93" i="108"/>
  <c r="U63" i="108"/>
  <c r="U64" i="108"/>
  <c r="U95" i="108"/>
  <c r="U96" i="108"/>
  <c r="U74" i="108"/>
  <c r="U73" i="108"/>
  <c r="U51" i="108"/>
  <c r="U52" i="108"/>
  <c r="U83" i="108"/>
  <c r="U84" i="108"/>
  <c r="U70" i="108"/>
  <c r="U69" i="108"/>
  <c r="U71" i="108"/>
  <c r="U72" i="108"/>
  <c r="U49" i="108"/>
  <c r="U50" i="108"/>
  <c r="U82" i="108"/>
  <c r="U81" i="108"/>
  <c r="U60" i="108"/>
  <c r="U59" i="108"/>
  <c r="U91" i="108"/>
  <c r="U92" i="108"/>
  <c r="U78" i="108"/>
  <c r="U77" i="108"/>
  <c r="U73" i="106"/>
  <c r="U74" i="106"/>
  <c r="U52" i="106"/>
  <c r="U51" i="106"/>
  <c r="U83" i="106"/>
  <c r="U84" i="106"/>
  <c r="U69" i="106"/>
  <c r="U70" i="106"/>
  <c r="U56" i="106"/>
  <c r="U55" i="106"/>
  <c r="U87" i="106"/>
  <c r="U88" i="106"/>
  <c r="U50" i="106"/>
  <c r="U49" i="106"/>
  <c r="U81" i="106"/>
  <c r="U82" i="106"/>
  <c r="U60" i="106"/>
  <c r="U59" i="106"/>
  <c r="U91" i="106"/>
  <c r="U92" i="106"/>
  <c r="U77" i="106"/>
  <c r="U78" i="106"/>
  <c r="U63" i="106"/>
  <c r="U64" i="106"/>
  <c r="U95" i="106"/>
  <c r="U96" i="106"/>
  <c r="U58" i="106"/>
  <c r="U57" i="106"/>
  <c r="U89" i="106"/>
  <c r="U90" i="106"/>
  <c r="U67" i="106"/>
  <c r="U68" i="106"/>
  <c r="U54" i="106"/>
  <c r="U53" i="106"/>
  <c r="U85" i="106"/>
  <c r="U86" i="106"/>
  <c r="U71" i="106"/>
  <c r="U72" i="106"/>
  <c r="U66" i="106"/>
  <c r="U65" i="106"/>
  <c r="U75" i="106"/>
  <c r="U76" i="106"/>
  <c r="U61" i="106"/>
  <c r="U62" i="106"/>
  <c r="U93" i="106"/>
  <c r="U94" i="106"/>
  <c r="U79" i="106"/>
  <c r="U80" i="106"/>
  <c r="U53" i="105"/>
  <c r="U54" i="105"/>
  <c r="U86" i="105"/>
  <c r="U85" i="105"/>
  <c r="U71" i="105"/>
  <c r="U72" i="105"/>
  <c r="U50" i="105"/>
  <c r="U49" i="105"/>
  <c r="U82" i="105"/>
  <c r="U81" i="105"/>
  <c r="U59" i="105"/>
  <c r="U60" i="105"/>
  <c r="U91" i="105"/>
  <c r="U92" i="105"/>
  <c r="U61" i="105"/>
  <c r="U62" i="105"/>
  <c r="U93" i="105"/>
  <c r="U94" i="105"/>
  <c r="U79" i="105"/>
  <c r="U80" i="105"/>
  <c r="U57" i="105"/>
  <c r="U58" i="105"/>
  <c r="U90" i="105"/>
  <c r="U89" i="105"/>
  <c r="U67" i="105"/>
  <c r="U68" i="105"/>
  <c r="U70" i="105"/>
  <c r="U69" i="105"/>
  <c r="U55" i="105"/>
  <c r="U56" i="105"/>
  <c r="U87" i="105"/>
  <c r="U88" i="105"/>
  <c r="U65" i="105"/>
  <c r="U66" i="105"/>
  <c r="U75" i="105"/>
  <c r="U76" i="105"/>
  <c r="U78" i="105"/>
  <c r="U77" i="105"/>
  <c r="U64" i="105"/>
  <c r="U63" i="105"/>
  <c r="U95" i="105"/>
  <c r="U96" i="105"/>
  <c r="U74" i="105"/>
  <c r="U73" i="105"/>
  <c r="U51" i="105"/>
  <c r="U52" i="105"/>
  <c r="U83" i="105"/>
  <c r="U84" i="105"/>
  <c r="U61" i="102"/>
  <c r="U62" i="102"/>
  <c r="U93" i="102"/>
  <c r="U94" i="102"/>
  <c r="U79" i="102"/>
  <c r="U80" i="102"/>
  <c r="U58" i="102"/>
  <c r="U57" i="102"/>
  <c r="U89" i="102"/>
  <c r="U90" i="102"/>
  <c r="U76" i="102"/>
  <c r="U75" i="102"/>
  <c r="U69" i="102"/>
  <c r="U70" i="102"/>
  <c r="U55" i="102"/>
  <c r="U56" i="102"/>
  <c r="U87" i="102"/>
  <c r="U88" i="102"/>
  <c r="U66" i="102"/>
  <c r="U65" i="102"/>
  <c r="U51" i="102"/>
  <c r="U52" i="102"/>
  <c r="U83" i="102"/>
  <c r="U84" i="102"/>
  <c r="U77" i="102"/>
  <c r="U78" i="102"/>
  <c r="U63" i="102"/>
  <c r="U64" i="102"/>
  <c r="U73" i="102"/>
  <c r="U74" i="102"/>
  <c r="U59" i="102"/>
  <c r="U60" i="102"/>
  <c r="U91" i="102"/>
  <c r="U92" i="102"/>
  <c r="U53" i="102"/>
  <c r="U54" i="102"/>
  <c r="U85" i="102"/>
  <c r="U86" i="102"/>
  <c r="U72" i="102"/>
  <c r="U71" i="102"/>
  <c r="U49" i="102"/>
  <c r="U50" i="102"/>
  <c r="U81" i="102"/>
  <c r="U82" i="102"/>
  <c r="U67" i="102"/>
  <c r="U68" i="102"/>
  <c r="U95" i="102"/>
  <c r="U96" i="102"/>
  <c r="V37" i="101"/>
  <c r="X37" i="101" s="1"/>
  <c r="V33" i="101"/>
  <c r="X33" i="101" s="1"/>
  <c r="V29" i="101"/>
  <c r="X29" i="101" s="1"/>
  <c r="V25" i="101"/>
  <c r="X25" i="101" s="1"/>
  <c r="V21" i="101"/>
  <c r="X21" i="101" s="1"/>
  <c r="V17" i="101"/>
  <c r="X17" i="101" s="1"/>
  <c r="V38" i="101"/>
  <c r="X38" i="101" s="1"/>
  <c r="V26" i="101"/>
  <c r="X26" i="101" s="1"/>
  <c r="V40" i="101"/>
  <c r="X40" i="101" s="1"/>
  <c r="U97" i="101" s="1"/>
  <c r="V36" i="101"/>
  <c r="X36" i="101" s="1"/>
  <c r="V32" i="101"/>
  <c r="X32" i="101" s="1"/>
  <c r="V28" i="101"/>
  <c r="X28" i="101" s="1"/>
  <c r="V24" i="101"/>
  <c r="X24" i="101" s="1"/>
  <c r="V20" i="101"/>
  <c r="X20" i="101" s="1"/>
  <c r="V16" i="101"/>
  <c r="X16" i="101" s="1"/>
  <c r="V34" i="101"/>
  <c r="X34" i="101" s="1"/>
  <c r="V18" i="101"/>
  <c r="X18" i="101" s="1"/>
  <c r="V39" i="101"/>
  <c r="X39" i="101" s="1"/>
  <c r="V35" i="101"/>
  <c r="X35" i="101" s="1"/>
  <c r="V31" i="101"/>
  <c r="X31" i="101" s="1"/>
  <c r="V27" i="101"/>
  <c r="X27" i="101" s="1"/>
  <c r="V23" i="101"/>
  <c r="X23" i="101" s="1"/>
  <c r="V19" i="101"/>
  <c r="X19" i="101" s="1"/>
  <c r="V30" i="101"/>
  <c r="X30" i="101" s="1"/>
  <c r="V22" i="101"/>
  <c r="X22" i="101" s="1"/>
  <c r="U48" i="101"/>
  <c r="U47" i="101"/>
  <c r="U75" i="100"/>
  <c r="U76" i="100"/>
  <c r="U61" i="100"/>
  <c r="U62" i="100"/>
  <c r="U93" i="100"/>
  <c r="U94" i="100"/>
  <c r="U79" i="100"/>
  <c r="U80" i="100"/>
  <c r="U57" i="100"/>
  <c r="U58" i="100"/>
  <c r="U89" i="100"/>
  <c r="U90" i="100"/>
  <c r="U52" i="100"/>
  <c r="U51" i="100"/>
  <c r="U83" i="100"/>
  <c r="U84" i="100"/>
  <c r="U70" i="100"/>
  <c r="U69" i="100"/>
  <c r="U56" i="100"/>
  <c r="U55" i="100"/>
  <c r="U87" i="100"/>
  <c r="U88" i="100"/>
  <c r="U66" i="100"/>
  <c r="U65" i="100"/>
  <c r="U60" i="100"/>
  <c r="U59" i="100"/>
  <c r="U91" i="100"/>
  <c r="U92" i="100"/>
  <c r="U77" i="100"/>
  <c r="U78" i="100"/>
  <c r="U63" i="100"/>
  <c r="U64" i="100"/>
  <c r="U95" i="100"/>
  <c r="U96" i="100"/>
  <c r="U73" i="100"/>
  <c r="U74" i="100"/>
  <c r="U67" i="100"/>
  <c r="U68" i="100"/>
  <c r="U53" i="100"/>
  <c r="U54" i="100"/>
  <c r="U85" i="100"/>
  <c r="U86" i="100"/>
  <c r="U71" i="100"/>
  <c r="U72" i="100"/>
  <c r="U49" i="100"/>
  <c r="U50" i="100"/>
  <c r="U81" i="100"/>
  <c r="U82" i="100"/>
  <c r="U47" i="98"/>
  <c r="U48" i="98"/>
  <c r="V37" i="98"/>
  <c r="X37" i="98" s="1"/>
  <c r="V33" i="98"/>
  <c r="X33" i="98" s="1"/>
  <c r="V29" i="98"/>
  <c r="X29" i="98" s="1"/>
  <c r="V25" i="98"/>
  <c r="X25" i="98" s="1"/>
  <c r="V21" i="98"/>
  <c r="X21" i="98" s="1"/>
  <c r="V17" i="98"/>
  <c r="X17" i="98" s="1"/>
  <c r="V36" i="98"/>
  <c r="X36" i="98" s="1"/>
  <c r="V31" i="98"/>
  <c r="X31" i="98" s="1"/>
  <c r="V26" i="98"/>
  <c r="X26" i="98" s="1"/>
  <c r="V20" i="98"/>
  <c r="X20" i="98" s="1"/>
  <c r="V40" i="98"/>
  <c r="X40" i="98" s="1"/>
  <c r="U97" i="98" s="1"/>
  <c r="V35" i="98"/>
  <c r="X35" i="98" s="1"/>
  <c r="V30" i="98"/>
  <c r="X30" i="98" s="1"/>
  <c r="V24" i="98"/>
  <c r="X24" i="98" s="1"/>
  <c r="V19" i="98"/>
  <c r="X19" i="98" s="1"/>
  <c r="V39" i="98"/>
  <c r="X39" i="98" s="1"/>
  <c r="V34" i="98"/>
  <c r="X34" i="98" s="1"/>
  <c r="V28" i="98"/>
  <c r="X28" i="98" s="1"/>
  <c r="V23" i="98"/>
  <c r="X23" i="98" s="1"/>
  <c r="V18" i="98"/>
  <c r="X18" i="98" s="1"/>
  <c r="V38" i="98"/>
  <c r="X38" i="98" s="1"/>
  <c r="V32" i="98"/>
  <c r="X32" i="98" s="1"/>
  <c r="V27" i="98"/>
  <c r="X27" i="98" s="1"/>
  <c r="V22" i="98"/>
  <c r="X22" i="98" s="1"/>
  <c r="V16" i="98"/>
  <c r="X16" i="98" s="1"/>
  <c r="U47" i="97"/>
  <c r="U48" i="97"/>
  <c r="V38" i="97"/>
  <c r="X38" i="97" s="1"/>
  <c r="V34" i="97"/>
  <c r="X34" i="97" s="1"/>
  <c r="V30" i="97"/>
  <c r="X30" i="97" s="1"/>
  <c r="V26" i="97"/>
  <c r="X26" i="97" s="1"/>
  <c r="V22" i="97"/>
  <c r="X22" i="97" s="1"/>
  <c r="V18" i="97"/>
  <c r="X18" i="97" s="1"/>
  <c r="V40" i="97"/>
  <c r="X40" i="97" s="1"/>
  <c r="U97" i="97" s="1"/>
  <c r="V35" i="97"/>
  <c r="X35" i="97" s="1"/>
  <c r="V29" i="97"/>
  <c r="X29" i="97" s="1"/>
  <c r="V24" i="97"/>
  <c r="X24" i="97" s="1"/>
  <c r="V19" i="97"/>
  <c r="X19" i="97" s="1"/>
  <c r="V39" i="97"/>
  <c r="X39" i="97" s="1"/>
  <c r="V33" i="97"/>
  <c r="X33" i="97" s="1"/>
  <c r="V28" i="97"/>
  <c r="X28" i="97" s="1"/>
  <c r="V23" i="97"/>
  <c r="X23" i="97" s="1"/>
  <c r="V17" i="97"/>
  <c r="X17" i="97" s="1"/>
  <c r="V37" i="97"/>
  <c r="X37" i="97" s="1"/>
  <c r="V32" i="97"/>
  <c r="X32" i="97" s="1"/>
  <c r="V27" i="97"/>
  <c r="X27" i="97" s="1"/>
  <c r="V21" i="97"/>
  <c r="X21" i="97" s="1"/>
  <c r="V16" i="97"/>
  <c r="X16" i="97" s="1"/>
  <c r="V36" i="97"/>
  <c r="X36" i="97" s="1"/>
  <c r="V31" i="97"/>
  <c r="X31" i="97" s="1"/>
  <c r="V25" i="97"/>
  <c r="X25" i="97" s="1"/>
  <c r="V20" i="97"/>
  <c r="X20" i="97" s="1"/>
  <c r="U55" i="96"/>
  <c r="U56" i="96"/>
  <c r="U87" i="96"/>
  <c r="U88" i="96"/>
  <c r="U66" i="96"/>
  <c r="U65" i="96"/>
  <c r="U76" i="96"/>
  <c r="U75" i="96"/>
  <c r="U62" i="96"/>
  <c r="U61" i="96"/>
  <c r="U93" i="96"/>
  <c r="U94" i="96"/>
  <c r="U64" i="96"/>
  <c r="U63" i="96"/>
  <c r="U95" i="96"/>
  <c r="U96" i="96"/>
  <c r="U73" i="96"/>
  <c r="U74" i="96"/>
  <c r="U51" i="96"/>
  <c r="U52" i="96"/>
  <c r="U83" i="96"/>
  <c r="U84" i="96"/>
  <c r="U69" i="96"/>
  <c r="U70" i="96"/>
  <c r="U72" i="96"/>
  <c r="U71" i="96"/>
  <c r="U50" i="96"/>
  <c r="U49" i="96"/>
  <c r="U81" i="96"/>
  <c r="U82" i="96"/>
  <c r="U60" i="96"/>
  <c r="U59" i="96"/>
  <c r="U91" i="96"/>
  <c r="U92" i="96"/>
  <c r="U77" i="96"/>
  <c r="U78" i="96"/>
  <c r="U79" i="96"/>
  <c r="U80" i="96"/>
  <c r="U58" i="96"/>
  <c r="U57" i="96"/>
  <c r="U89" i="96"/>
  <c r="U90" i="96"/>
  <c r="U68" i="96"/>
  <c r="U67" i="96"/>
  <c r="U54" i="96"/>
  <c r="U53" i="96"/>
  <c r="U85" i="96"/>
  <c r="U86" i="96"/>
  <c r="V37" i="95"/>
  <c r="X37" i="95" s="1"/>
  <c r="V33" i="95"/>
  <c r="X33" i="95" s="1"/>
  <c r="V29" i="95"/>
  <c r="X29" i="95" s="1"/>
  <c r="V25" i="95"/>
  <c r="X25" i="95" s="1"/>
  <c r="V21" i="95"/>
  <c r="X21" i="95" s="1"/>
  <c r="V17" i="95"/>
  <c r="X17" i="95" s="1"/>
  <c r="V40" i="95"/>
  <c r="X40" i="95" s="1"/>
  <c r="U97" i="95" s="1"/>
  <c r="V36" i="95"/>
  <c r="X36" i="95" s="1"/>
  <c r="V32" i="95"/>
  <c r="X32" i="95" s="1"/>
  <c r="V28" i="95"/>
  <c r="X28" i="95" s="1"/>
  <c r="V24" i="95"/>
  <c r="X24" i="95" s="1"/>
  <c r="V20" i="95"/>
  <c r="X20" i="95" s="1"/>
  <c r="V16" i="95"/>
  <c r="X16" i="95" s="1"/>
  <c r="V39" i="95"/>
  <c r="X39" i="95" s="1"/>
  <c r="V35" i="95"/>
  <c r="X35" i="95" s="1"/>
  <c r="V31" i="95"/>
  <c r="X31" i="95" s="1"/>
  <c r="V27" i="95"/>
  <c r="X27" i="95" s="1"/>
  <c r="V23" i="95"/>
  <c r="X23" i="95" s="1"/>
  <c r="V19" i="95"/>
  <c r="X19" i="95" s="1"/>
  <c r="V38" i="95"/>
  <c r="X38" i="95" s="1"/>
  <c r="V34" i="95"/>
  <c r="X34" i="95" s="1"/>
  <c r="V30" i="95"/>
  <c r="X30" i="95" s="1"/>
  <c r="V26" i="95"/>
  <c r="X26" i="95" s="1"/>
  <c r="V22" i="95"/>
  <c r="X22" i="95" s="1"/>
  <c r="V18" i="95"/>
  <c r="X18" i="95" s="1"/>
  <c r="U47" i="95"/>
  <c r="U48" i="95"/>
  <c r="V40" i="93"/>
  <c r="X40" i="93" s="1"/>
  <c r="U97" i="93" s="1"/>
  <c r="V36" i="93"/>
  <c r="X36" i="93" s="1"/>
  <c r="V32" i="93"/>
  <c r="X32" i="93" s="1"/>
  <c r="V28" i="93"/>
  <c r="X28" i="93" s="1"/>
  <c r="V24" i="93"/>
  <c r="X24" i="93" s="1"/>
  <c r="V20" i="93"/>
  <c r="X20" i="93" s="1"/>
  <c r="V16" i="93"/>
  <c r="X16" i="93" s="1"/>
  <c r="V39" i="93"/>
  <c r="X39" i="93" s="1"/>
  <c r="V35" i="93"/>
  <c r="X35" i="93" s="1"/>
  <c r="V31" i="93"/>
  <c r="X31" i="93" s="1"/>
  <c r="V27" i="93"/>
  <c r="X27" i="93" s="1"/>
  <c r="V23" i="93"/>
  <c r="X23" i="93" s="1"/>
  <c r="V19" i="93"/>
  <c r="X19" i="93" s="1"/>
  <c r="V38" i="93"/>
  <c r="X38" i="93" s="1"/>
  <c r="V34" i="93"/>
  <c r="X34" i="93" s="1"/>
  <c r="V30" i="93"/>
  <c r="X30" i="93" s="1"/>
  <c r="V26" i="93"/>
  <c r="X26" i="93" s="1"/>
  <c r="V22" i="93"/>
  <c r="X22" i="93" s="1"/>
  <c r="V18" i="93"/>
  <c r="X18" i="93" s="1"/>
  <c r="V37" i="93"/>
  <c r="X37" i="93" s="1"/>
  <c r="V33" i="93"/>
  <c r="X33" i="93" s="1"/>
  <c r="V29" i="93"/>
  <c r="X29" i="93" s="1"/>
  <c r="V25" i="93"/>
  <c r="X25" i="93" s="1"/>
  <c r="V21" i="93"/>
  <c r="X21" i="93" s="1"/>
  <c r="V17" i="93"/>
  <c r="X17" i="93" s="1"/>
  <c r="U48" i="93"/>
  <c r="U47" i="93"/>
  <c r="U50" i="92"/>
  <c r="U49" i="92"/>
  <c r="U81" i="92"/>
  <c r="U82" i="92"/>
  <c r="U60" i="92"/>
  <c r="U59" i="92"/>
  <c r="U91" i="92"/>
  <c r="U92" i="92"/>
  <c r="U77" i="92"/>
  <c r="U78" i="92"/>
  <c r="U63" i="92"/>
  <c r="U64" i="92"/>
  <c r="U95" i="92"/>
  <c r="U96" i="92"/>
  <c r="U58" i="92"/>
  <c r="U57" i="92"/>
  <c r="U89" i="92"/>
  <c r="U90" i="92"/>
  <c r="U67" i="92"/>
  <c r="U68" i="92"/>
  <c r="U54" i="92"/>
  <c r="U53" i="92"/>
  <c r="U85" i="92"/>
  <c r="U86" i="92"/>
  <c r="U72" i="92"/>
  <c r="U71" i="92"/>
  <c r="U66" i="92"/>
  <c r="U65" i="92"/>
  <c r="U76" i="92"/>
  <c r="U75" i="92"/>
  <c r="U62" i="92"/>
  <c r="U61" i="92"/>
  <c r="U93" i="92"/>
  <c r="U94" i="92"/>
  <c r="U80" i="92"/>
  <c r="U79" i="92"/>
  <c r="U73" i="92"/>
  <c r="U74" i="92"/>
  <c r="U51" i="92"/>
  <c r="U52" i="92"/>
  <c r="U83" i="92"/>
  <c r="U84" i="92"/>
  <c r="U69" i="92"/>
  <c r="U70" i="92"/>
  <c r="U55" i="92"/>
  <c r="U56" i="92"/>
  <c r="U87" i="92"/>
  <c r="U88" i="92"/>
  <c r="U48" i="91"/>
  <c r="U47" i="91"/>
  <c r="V40" i="91"/>
  <c r="X40" i="91" s="1"/>
  <c r="U97" i="91" s="1"/>
  <c r="V36" i="91"/>
  <c r="X36" i="91" s="1"/>
  <c r="V32" i="91"/>
  <c r="X32" i="91" s="1"/>
  <c r="V28" i="91"/>
  <c r="X28" i="91" s="1"/>
  <c r="V24" i="91"/>
  <c r="X24" i="91" s="1"/>
  <c r="V20" i="91"/>
  <c r="X20" i="91" s="1"/>
  <c r="V16" i="91"/>
  <c r="X16" i="91" s="1"/>
  <c r="V39" i="91"/>
  <c r="X39" i="91" s="1"/>
  <c r="V35" i="91"/>
  <c r="X35" i="91" s="1"/>
  <c r="V31" i="91"/>
  <c r="X31" i="91" s="1"/>
  <c r="V27" i="91"/>
  <c r="X27" i="91" s="1"/>
  <c r="V23" i="91"/>
  <c r="X23" i="91" s="1"/>
  <c r="V19" i="91"/>
  <c r="X19" i="91" s="1"/>
  <c r="V38" i="91"/>
  <c r="X38" i="91" s="1"/>
  <c r="V34" i="91"/>
  <c r="X34" i="91" s="1"/>
  <c r="V30" i="91"/>
  <c r="X30" i="91" s="1"/>
  <c r="V26" i="91"/>
  <c r="X26" i="91" s="1"/>
  <c r="V22" i="91"/>
  <c r="X22" i="91" s="1"/>
  <c r="V18" i="91"/>
  <c r="X18" i="91" s="1"/>
  <c r="V37" i="91"/>
  <c r="X37" i="91" s="1"/>
  <c r="V33" i="91"/>
  <c r="X33" i="91" s="1"/>
  <c r="V29" i="91"/>
  <c r="X29" i="91" s="1"/>
  <c r="V25" i="91"/>
  <c r="X25" i="91" s="1"/>
  <c r="V21" i="91"/>
  <c r="X21" i="91" s="1"/>
  <c r="V17" i="91"/>
  <c r="X17" i="91" s="1"/>
  <c r="V24" i="90"/>
  <c r="X24" i="90" s="1"/>
  <c r="U65" i="90" s="1"/>
  <c r="V40" i="90"/>
  <c r="X40" i="90" s="1"/>
  <c r="U97" i="90" s="1"/>
  <c r="V29" i="90"/>
  <c r="X29" i="90" s="1"/>
  <c r="U76" i="90" s="1"/>
  <c r="V22" i="90"/>
  <c r="X22" i="90" s="1"/>
  <c r="U61" i="90" s="1"/>
  <c r="V38" i="90"/>
  <c r="X38" i="90" s="1"/>
  <c r="U93" i="90" s="1"/>
  <c r="U74" i="90"/>
  <c r="U73" i="90"/>
  <c r="U51" i="90"/>
  <c r="U52" i="90"/>
  <c r="U83" i="90"/>
  <c r="U84" i="90"/>
  <c r="U70" i="90"/>
  <c r="U69" i="90"/>
  <c r="U55" i="90"/>
  <c r="U56" i="90"/>
  <c r="U87" i="90"/>
  <c r="U88" i="90"/>
  <c r="U49" i="90"/>
  <c r="U50" i="90"/>
  <c r="U82" i="90"/>
  <c r="U81" i="90"/>
  <c r="U59" i="90"/>
  <c r="U60" i="90"/>
  <c r="U91" i="90"/>
  <c r="U92" i="90"/>
  <c r="U78" i="90"/>
  <c r="U77" i="90"/>
  <c r="U63" i="90"/>
  <c r="U64" i="90"/>
  <c r="U95" i="90"/>
  <c r="U96" i="90"/>
  <c r="U57" i="90"/>
  <c r="U58" i="90"/>
  <c r="U90" i="90"/>
  <c r="U89" i="90"/>
  <c r="U67" i="90"/>
  <c r="U68" i="90"/>
  <c r="U53" i="90"/>
  <c r="U54" i="90"/>
  <c r="U86" i="90"/>
  <c r="U85" i="90"/>
  <c r="U71" i="90"/>
  <c r="U72" i="90"/>
  <c r="U66" i="90"/>
  <c r="U94" i="90"/>
  <c r="U79" i="90"/>
  <c r="U80" i="90"/>
  <c r="U47" i="89"/>
  <c r="U48" i="89"/>
  <c r="V37" i="89"/>
  <c r="X37" i="89" s="1"/>
  <c r="V33" i="89"/>
  <c r="X33" i="89" s="1"/>
  <c r="V29" i="89"/>
  <c r="X29" i="89" s="1"/>
  <c r="V25" i="89"/>
  <c r="X25" i="89" s="1"/>
  <c r="V21" i="89"/>
  <c r="X21" i="89" s="1"/>
  <c r="V17" i="89"/>
  <c r="X17" i="89" s="1"/>
  <c r="V40" i="89"/>
  <c r="X40" i="89" s="1"/>
  <c r="U97" i="89" s="1"/>
  <c r="V36" i="89"/>
  <c r="X36" i="89" s="1"/>
  <c r="V32" i="89"/>
  <c r="X32" i="89" s="1"/>
  <c r="V28" i="89"/>
  <c r="X28" i="89" s="1"/>
  <c r="V24" i="89"/>
  <c r="X24" i="89" s="1"/>
  <c r="V20" i="89"/>
  <c r="X20" i="89" s="1"/>
  <c r="V16" i="89"/>
  <c r="X16" i="89" s="1"/>
  <c r="V39" i="89"/>
  <c r="X39" i="89" s="1"/>
  <c r="V35" i="89"/>
  <c r="X35" i="89" s="1"/>
  <c r="V31" i="89"/>
  <c r="X31" i="89" s="1"/>
  <c r="V27" i="89"/>
  <c r="X27" i="89" s="1"/>
  <c r="V23" i="89"/>
  <c r="X23" i="89" s="1"/>
  <c r="V19" i="89"/>
  <c r="X19" i="89" s="1"/>
  <c r="V38" i="89"/>
  <c r="X38" i="89" s="1"/>
  <c r="V34" i="89"/>
  <c r="X34" i="89" s="1"/>
  <c r="V30" i="89"/>
  <c r="X30" i="89" s="1"/>
  <c r="V26" i="89"/>
  <c r="X26" i="89" s="1"/>
  <c r="V22" i="89"/>
  <c r="X22" i="89" s="1"/>
  <c r="V18" i="89"/>
  <c r="X18" i="89" s="1"/>
  <c r="V38" i="88"/>
  <c r="X38" i="88" s="1"/>
  <c r="V34" i="88"/>
  <c r="X34" i="88" s="1"/>
  <c r="V30" i="88"/>
  <c r="X30" i="88" s="1"/>
  <c r="V26" i="88"/>
  <c r="X26" i="88" s="1"/>
  <c r="V22" i="88"/>
  <c r="X22" i="88" s="1"/>
  <c r="V18" i="88"/>
  <c r="X18" i="88" s="1"/>
  <c r="V37" i="88"/>
  <c r="X37" i="88" s="1"/>
  <c r="V33" i="88"/>
  <c r="X33" i="88" s="1"/>
  <c r="V29" i="88"/>
  <c r="X29" i="88" s="1"/>
  <c r="V25" i="88"/>
  <c r="X25" i="88" s="1"/>
  <c r="V21" i="88"/>
  <c r="X21" i="88" s="1"/>
  <c r="V17" i="88"/>
  <c r="X17" i="88" s="1"/>
  <c r="V40" i="88"/>
  <c r="X40" i="88" s="1"/>
  <c r="U97" i="88" s="1"/>
  <c r="V36" i="88"/>
  <c r="X36" i="88" s="1"/>
  <c r="V32" i="88"/>
  <c r="X32" i="88" s="1"/>
  <c r="V28" i="88"/>
  <c r="X28" i="88" s="1"/>
  <c r="V24" i="88"/>
  <c r="X24" i="88" s="1"/>
  <c r="V20" i="88"/>
  <c r="X20" i="88" s="1"/>
  <c r="V16" i="88"/>
  <c r="X16" i="88" s="1"/>
  <c r="V39" i="88"/>
  <c r="X39" i="88" s="1"/>
  <c r="V35" i="88"/>
  <c r="X35" i="88" s="1"/>
  <c r="V31" i="88"/>
  <c r="X31" i="88" s="1"/>
  <c r="V27" i="88"/>
  <c r="X27" i="88" s="1"/>
  <c r="V23" i="88"/>
  <c r="X23" i="88" s="1"/>
  <c r="V19" i="88"/>
  <c r="X19" i="88" s="1"/>
  <c r="U47" i="88"/>
  <c r="U48" i="88"/>
  <c r="V39" i="87"/>
  <c r="X39" i="87" s="1"/>
  <c r="V35" i="87"/>
  <c r="X35" i="87" s="1"/>
  <c r="V31" i="87"/>
  <c r="X31" i="87" s="1"/>
  <c r="V27" i="87"/>
  <c r="X27" i="87" s="1"/>
  <c r="V23" i="87"/>
  <c r="X23" i="87" s="1"/>
  <c r="V19" i="87"/>
  <c r="X19" i="87" s="1"/>
  <c r="V38" i="87"/>
  <c r="X38" i="87" s="1"/>
  <c r="V34" i="87"/>
  <c r="X34" i="87" s="1"/>
  <c r="V30" i="87"/>
  <c r="X30" i="87" s="1"/>
  <c r="V26" i="87"/>
  <c r="X26" i="87" s="1"/>
  <c r="V22" i="87"/>
  <c r="X22" i="87" s="1"/>
  <c r="V18" i="87"/>
  <c r="X18" i="87" s="1"/>
  <c r="V37" i="87"/>
  <c r="X37" i="87" s="1"/>
  <c r="V33" i="87"/>
  <c r="X33" i="87" s="1"/>
  <c r="V29" i="87"/>
  <c r="X29" i="87" s="1"/>
  <c r="V25" i="87"/>
  <c r="X25" i="87" s="1"/>
  <c r="V21" i="87"/>
  <c r="X21" i="87" s="1"/>
  <c r="V17" i="87"/>
  <c r="X17" i="87" s="1"/>
  <c r="V40" i="87"/>
  <c r="X40" i="87" s="1"/>
  <c r="U97" i="87" s="1"/>
  <c r="V36" i="87"/>
  <c r="X36" i="87" s="1"/>
  <c r="V32" i="87"/>
  <c r="X32" i="87" s="1"/>
  <c r="V28" i="87"/>
  <c r="X28" i="87" s="1"/>
  <c r="V24" i="87"/>
  <c r="X24" i="87" s="1"/>
  <c r="V20" i="87"/>
  <c r="X20" i="87" s="1"/>
  <c r="V16" i="87"/>
  <c r="X16" i="87" s="1"/>
  <c r="U48" i="87"/>
  <c r="U47" i="87"/>
  <c r="V39" i="86"/>
  <c r="X39" i="86" s="1"/>
  <c r="V35" i="86"/>
  <c r="X35" i="86" s="1"/>
  <c r="V31" i="86"/>
  <c r="X31" i="86" s="1"/>
  <c r="V27" i="86"/>
  <c r="X27" i="86" s="1"/>
  <c r="V23" i="86"/>
  <c r="X23" i="86" s="1"/>
  <c r="V19" i="86"/>
  <c r="X19" i="86" s="1"/>
  <c r="V38" i="86"/>
  <c r="X38" i="86" s="1"/>
  <c r="V34" i="86"/>
  <c r="X34" i="86" s="1"/>
  <c r="V30" i="86"/>
  <c r="X30" i="86" s="1"/>
  <c r="V26" i="86"/>
  <c r="X26" i="86" s="1"/>
  <c r="V22" i="86"/>
  <c r="X22" i="86" s="1"/>
  <c r="V18" i="86"/>
  <c r="X18" i="86" s="1"/>
  <c r="V37" i="86"/>
  <c r="X37" i="86" s="1"/>
  <c r="V33" i="86"/>
  <c r="X33" i="86" s="1"/>
  <c r="V29" i="86"/>
  <c r="X29" i="86" s="1"/>
  <c r="V25" i="86"/>
  <c r="X25" i="86" s="1"/>
  <c r="V21" i="86"/>
  <c r="X21" i="86" s="1"/>
  <c r="V17" i="86"/>
  <c r="X17" i="86" s="1"/>
  <c r="V40" i="86"/>
  <c r="X40" i="86" s="1"/>
  <c r="U97" i="86" s="1"/>
  <c r="V36" i="86"/>
  <c r="X36" i="86" s="1"/>
  <c r="V32" i="86"/>
  <c r="X32" i="86" s="1"/>
  <c r="V28" i="86"/>
  <c r="X28" i="86" s="1"/>
  <c r="V24" i="86"/>
  <c r="X24" i="86" s="1"/>
  <c r="V20" i="86"/>
  <c r="X20" i="86" s="1"/>
  <c r="V16" i="86"/>
  <c r="X16" i="86" s="1"/>
  <c r="U47" i="86"/>
  <c r="U48" i="86"/>
  <c r="T92" i="45"/>
  <c r="T93" i="45"/>
  <c r="W37" i="45"/>
  <c r="T80" i="45"/>
  <c r="T81" i="45"/>
  <c r="W31" i="45"/>
  <c r="T53" i="45"/>
  <c r="T52" i="45"/>
  <c r="W17" i="45"/>
  <c r="T88" i="45"/>
  <c r="T89" i="45"/>
  <c r="W35" i="45"/>
  <c r="T60" i="45"/>
  <c r="T61" i="45"/>
  <c r="W21" i="45"/>
  <c r="V16" i="45" a="1"/>
  <c r="T48" i="45"/>
  <c r="W15" i="45"/>
  <c r="V15" i="45"/>
  <c r="X15" i="45" s="1"/>
  <c r="T49" i="45"/>
  <c r="T75" i="45"/>
  <c r="T74" i="45"/>
  <c r="W28" i="45"/>
  <c r="W22" i="45"/>
  <c r="T56" i="45"/>
  <c r="T57" i="45"/>
  <c r="W19" i="45"/>
  <c r="T83" i="45"/>
  <c r="T82" i="45"/>
  <c r="W32" i="45"/>
  <c r="W26" i="45"/>
  <c r="T71" i="45"/>
  <c r="T70" i="45"/>
  <c r="W30" i="45"/>
  <c r="T78" i="45"/>
  <c r="T79" i="45"/>
  <c r="T51" i="45"/>
  <c r="T50" i="45"/>
  <c r="W16" i="45"/>
  <c r="T84" i="45"/>
  <c r="T85" i="45"/>
  <c r="W33" i="45"/>
  <c r="V15" i="44"/>
  <c r="X15" i="44" s="1"/>
  <c r="V16" i="44" a="1"/>
  <c r="T51" i="44"/>
  <c r="T50" i="44"/>
  <c r="W16" i="44"/>
  <c r="T59" i="44"/>
  <c r="T58" i="44"/>
  <c r="W20" i="44"/>
  <c r="T75" i="44"/>
  <c r="T74" i="44"/>
  <c r="W28" i="44"/>
  <c r="W36" i="44"/>
  <c r="T91" i="44"/>
  <c r="T90" i="44"/>
  <c r="W21" i="44"/>
  <c r="T60" i="44"/>
  <c r="T61" i="44"/>
  <c r="W29" i="44"/>
  <c r="T76" i="44"/>
  <c r="T77" i="44"/>
  <c r="W39" i="44"/>
  <c r="T96" i="44"/>
  <c r="T97" i="44"/>
  <c r="W22" i="44"/>
  <c r="T63" i="44"/>
  <c r="T62" i="44"/>
  <c r="W30" i="44"/>
  <c r="T79" i="44"/>
  <c r="T78" i="44"/>
  <c r="W38" i="44"/>
  <c r="T95" i="44"/>
  <c r="T94" i="44"/>
  <c r="W23" i="44"/>
  <c r="T64" i="44"/>
  <c r="T65" i="44"/>
  <c r="W31" i="44"/>
  <c r="T80" i="44"/>
  <c r="T81" i="44"/>
  <c r="T48" i="44"/>
  <c r="W15" i="44"/>
  <c r="T49" i="44"/>
  <c r="T67" i="44"/>
  <c r="T66" i="44"/>
  <c r="W24" i="44"/>
  <c r="T83" i="44"/>
  <c r="T82" i="44"/>
  <c r="W32" i="44"/>
  <c r="W17" i="44"/>
  <c r="T52" i="44"/>
  <c r="T53" i="44"/>
  <c r="W25" i="44"/>
  <c r="T68" i="44"/>
  <c r="T69" i="44"/>
  <c r="W33" i="44"/>
  <c r="T84" i="44"/>
  <c r="T85" i="44"/>
  <c r="W37" i="44"/>
  <c r="T92" i="44"/>
  <c r="T93" i="44"/>
  <c r="W18" i="44"/>
  <c r="T55" i="44"/>
  <c r="T54" i="44"/>
  <c r="W26" i="44"/>
  <c r="T71" i="44"/>
  <c r="T70" i="44"/>
  <c r="W34" i="44"/>
  <c r="T87" i="44"/>
  <c r="T86" i="44"/>
  <c r="W19" i="44"/>
  <c r="T56" i="44"/>
  <c r="T57" i="44"/>
  <c r="W27" i="44"/>
  <c r="T72" i="44"/>
  <c r="T73" i="44"/>
  <c r="W35" i="44"/>
  <c r="T88" i="44"/>
  <c r="T89" i="44"/>
  <c r="I107" i="44"/>
  <c r="I70" i="44"/>
  <c r="I109" i="44"/>
  <c r="I97" i="44"/>
  <c r="I93" i="44"/>
  <c r="I89" i="44"/>
  <c r="I85" i="44"/>
  <c r="I81" i="44"/>
  <c r="I77" i="44"/>
  <c r="I73" i="44"/>
  <c r="I63" i="44"/>
  <c r="I106" i="44"/>
  <c r="I68" i="44"/>
  <c r="I66" i="44"/>
  <c r="I100" i="44"/>
  <c r="I96" i="44"/>
  <c r="I92" i="44"/>
  <c r="I88" i="44"/>
  <c r="I84" i="44"/>
  <c r="I80" i="44"/>
  <c r="I76" i="44"/>
  <c r="I72" i="44"/>
  <c r="I112" i="44"/>
  <c r="I104" i="44"/>
  <c r="I103" i="44"/>
  <c r="I113" i="44"/>
  <c r="I64" i="44"/>
  <c r="I105" i="44"/>
  <c r="I99" i="44"/>
  <c r="I95" i="44"/>
  <c r="I91" i="44"/>
  <c r="I87" i="44"/>
  <c r="I83" i="44"/>
  <c r="I79" i="44"/>
  <c r="I75" i="44"/>
  <c r="I71" i="44"/>
  <c r="I110" i="44"/>
  <c r="I102" i="44"/>
  <c r="I101" i="44"/>
  <c r="I65" i="44"/>
  <c r="I111" i="44"/>
  <c r="I69" i="44"/>
  <c r="I98" i="44"/>
  <c r="I94" i="44"/>
  <c r="I90" i="44"/>
  <c r="I86" i="44"/>
  <c r="I82" i="44"/>
  <c r="I78" i="44"/>
  <c r="I74" i="44"/>
  <c r="I67" i="44"/>
  <c r="I108" i="44"/>
  <c r="U62" i="90" l="1"/>
  <c r="V35" i="115"/>
  <c r="X35" i="115" s="1"/>
  <c r="V19" i="115"/>
  <c r="X19" i="115" s="1"/>
  <c r="V26" i="115"/>
  <c r="X26" i="115" s="1"/>
  <c r="V33" i="115"/>
  <c r="X33" i="115" s="1"/>
  <c r="V17" i="115"/>
  <c r="X17" i="115" s="1"/>
  <c r="V28" i="115"/>
  <c r="X28" i="115" s="1"/>
  <c r="V31" i="115"/>
  <c r="X31" i="115" s="1"/>
  <c r="V38" i="115"/>
  <c r="X38" i="115" s="1"/>
  <c r="V22" i="115"/>
  <c r="X22" i="115" s="1"/>
  <c r="V29" i="115"/>
  <c r="X29" i="115" s="1"/>
  <c r="V40" i="115"/>
  <c r="X40" i="115" s="1"/>
  <c r="U97" i="115" s="1"/>
  <c r="V24" i="115"/>
  <c r="X24" i="115" s="1"/>
  <c r="V27" i="115"/>
  <c r="X27" i="115" s="1"/>
  <c r="V34" i="115"/>
  <c r="X34" i="115" s="1"/>
  <c r="V18" i="115"/>
  <c r="X18" i="115" s="1"/>
  <c r="V25" i="115"/>
  <c r="X25" i="115" s="1"/>
  <c r="V36" i="115"/>
  <c r="X36" i="115" s="1"/>
  <c r="V20" i="115"/>
  <c r="X20" i="115" s="1"/>
  <c r="V39" i="115"/>
  <c r="X39" i="115" s="1"/>
  <c r="V23" i="115"/>
  <c r="X23" i="115" s="1"/>
  <c r="V30" i="115"/>
  <c r="X30" i="115" s="1"/>
  <c r="V37" i="115"/>
  <c r="X37" i="115" s="1"/>
  <c r="V21" i="115"/>
  <c r="X21" i="115" s="1"/>
  <c r="V32" i="115"/>
  <c r="X32" i="115" s="1"/>
  <c r="V16" i="115"/>
  <c r="X16" i="115" s="1"/>
  <c r="U47" i="115"/>
  <c r="U48" i="115"/>
  <c r="V27" i="110"/>
  <c r="X27" i="110" s="1"/>
  <c r="V34" i="110"/>
  <c r="X34" i="110" s="1"/>
  <c r="V18" i="110"/>
  <c r="X18" i="110" s="1"/>
  <c r="V25" i="110"/>
  <c r="X25" i="110" s="1"/>
  <c r="V36" i="110"/>
  <c r="X36" i="110" s="1"/>
  <c r="V20" i="110"/>
  <c r="X20" i="110" s="1"/>
  <c r="V31" i="110"/>
  <c r="X31" i="110" s="1"/>
  <c r="V40" i="110"/>
  <c r="X40" i="110" s="1"/>
  <c r="U97" i="110" s="1"/>
  <c r="V39" i="110"/>
  <c r="X39" i="110" s="1"/>
  <c r="V23" i="110"/>
  <c r="X23" i="110" s="1"/>
  <c r="V30" i="110"/>
  <c r="X30" i="110" s="1"/>
  <c r="V37" i="110"/>
  <c r="X37" i="110" s="1"/>
  <c r="V21" i="110"/>
  <c r="X21" i="110" s="1"/>
  <c r="V32" i="110"/>
  <c r="X32" i="110" s="1"/>
  <c r="V16" i="110"/>
  <c r="X16" i="110" s="1"/>
  <c r="V38" i="110"/>
  <c r="X38" i="110" s="1"/>
  <c r="V22" i="110"/>
  <c r="X22" i="110" s="1"/>
  <c r="V29" i="110"/>
  <c r="X29" i="110" s="1"/>
  <c r="V24" i="110"/>
  <c r="X24" i="110" s="1"/>
  <c r="V35" i="110"/>
  <c r="X35" i="110" s="1"/>
  <c r="V19" i="110"/>
  <c r="X19" i="110" s="1"/>
  <c r="V26" i="110"/>
  <c r="X26" i="110" s="1"/>
  <c r="V33" i="110"/>
  <c r="X33" i="110" s="1"/>
  <c r="V17" i="110"/>
  <c r="X17" i="110" s="1"/>
  <c r="V28" i="110"/>
  <c r="X28" i="110" s="1"/>
  <c r="U48" i="110"/>
  <c r="U47" i="110"/>
  <c r="U48" i="107"/>
  <c r="U47" i="107"/>
  <c r="V31" i="107"/>
  <c r="X31" i="107" s="1"/>
  <c r="V38" i="107"/>
  <c r="X38" i="107" s="1"/>
  <c r="V17" i="107"/>
  <c r="X17" i="107" s="1"/>
  <c r="V21" i="107"/>
  <c r="X21" i="107" s="1"/>
  <c r="V25" i="107"/>
  <c r="X25" i="107" s="1"/>
  <c r="V29" i="107"/>
  <c r="X29" i="107" s="1"/>
  <c r="V27" i="107"/>
  <c r="X27" i="107" s="1"/>
  <c r="V33" i="107"/>
  <c r="X33" i="107" s="1"/>
  <c r="V37" i="107"/>
  <c r="X37" i="107" s="1"/>
  <c r="V16" i="107"/>
  <c r="X16" i="107" s="1"/>
  <c r="V20" i="107"/>
  <c r="X20" i="107" s="1"/>
  <c r="V24" i="107"/>
  <c r="X24" i="107" s="1"/>
  <c r="V39" i="107"/>
  <c r="X39" i="107" s="1"/>
  <c r="V23" i="107"/>
  <c r="X23" i="107" s="1"/>
  <c r="V28" i="107"/>
  <c r="X28" i="107" s="1"/>
  <c r="V32" i="107"/>
  <c r="X32" i="107" s="1"/>
  <c r="V36" i="107"/>
  <c r="X36" i="107" s="1"/>
  <c r="V40" i="107"/>
  <c r="X40" i="107" s="1"/>
  <c r="U97" i="107" s="1"/>
  <c r="V18" i="107"/>
  <c r="X18" i="107" s="1"/>
  <c r="V35" i="107"/>
  <c r="X35" i="107" s="1"/>
  <c r="V19" i="107"/>
  <c r="X19" i="107" s="1"/>
  <c r="V22" i="107"/>
  <c r="X22" i="107" s="1"/>
  <c r="V26" i="107"/>
  <c r="X26" i="107" s="1"/>
  <c r="V30" i="107"/>
  <c r="X30" i="107" s="1"/>
  <c r="V34" i="107"/>
  <c r="X34" i="107" s="1"/>
  <c r="U47" i="104"/>
  <c r="U48" i="104"/>
  <c r="V35" i="104"/>
  <c r="X35" i="104" s="1"/>
  <c r="V19" i="104"/>
  <c r="X19" i="104" s="1"/>
  <c r="V26" i="104"/>
  <c r="X26" i="104" s="1"/>
  <c r="V33" i="104"/>
  <c r="X33" i="104" s="1"/>
  <c r="V17" i="104"/>
  <c r="X17" i="104" s="1"/>
  <c r="V28" i="104"/>
  <c r="X28" i="104" s="1"/>
  <c r="V31" i="104"/>
  <c r="X31" i="104" s="1"/>
  <c r="V38" i="104"/>
  <c r="X38" i="104" s="1"/>
  <c r="V22" i="104"/>
  <c r="X22" i="104" s="1"/>
  <c r="V29" i="104"/>
  <c r="X29" i="104" s="1"/>
  <c r="V40" i="104"/>
  <c r="X40" i="104" s="1"/>
  <c r="U97" i="104" s="1"/>
  <c r="V24" i="104"/>
  <c r="X24" i="104" s="1"/>
  <c r="V27" i="104"/>
  <c r="X27" i="104" s="1"/>
  <c r="V34" i="104"/>
  <c r="X34" i="104" s="1"/>
  <c r="V18" i="104"/>
  <c r="X18" i="104" s="1"/>
  <c r="V25" i="104"/>
  <c r="X25" i="104" s="1"/>
  <c r="V36" i="104"/>
  <c r="X36" i="104" s="1"/>
  <c r="V20" i="104"/>
  <c r="X20" i="104" s="1"/>
  <c r="V39" i="104"/>
  <c r="X39" i="104" s="1"/>
  <c r="V23" i="104"/>
  <c r="X23" i="104" s="1"/>
  <c r="V30" i="104"/>
  <c r="X30" i="104" s="1"/>
  <c r="V37" i="104"/>
  <c r="X37" i="104" s="1"/>
  <c r="V21" i="104"/>
  <c r="X21" i="104" s="1"/>
  <c r="V32" i="104"/>
  <c r="X32" i="104" s="1"/>
  <c r="V16" i="104"/>
  <c r="X16" i="104" s="1"/>
  <c r="V29" i="99"/>
  <c r="X29" i="99" s="1"/>
  <c r="V40" i="99"/>
  <c r="X40" i="99" s="1"/>
  <c r="U97" i="99" s="1"/>
  <c r="V24" i="99"/>
  <c r="X24" i="99" s="1"/>
  <c r="V35" i="99"/>
  <c r="X35" i="99" s="1"/>
  <c r="V19" i="99"/>
  <c r="X19" i="99" s="1"/>
  <c r="V26" i="99"/>
  <c r="X26" i="99" s="1"/>
  <c r="V22" i="99"/>
  <c r="X22" i="99" s="1"/>
  <c r="V37" i="99"/>
  <c r="X37" i="99" s="1"/>
  <c r="V21" i="99"/>
  <c r="X21" i="99" s="1"/>
  <c r="V32" i="99"/>
  <c r="X32" i="99" s="1"/>
  <c r="V16" i="99"/>
  <c r="X16" i="99" s="1"/>
  <c r="V27" i="99"/>
  <c r="X27" i="99" s="1"/>
  <c r="V34" i="99"/>
  <c r="X34" i="99" s="1"/>
  <c r="V18" i="99"/>
  <c r="X18" i="99" s="1"/>
  <c r="V25" i="99"/>
  <c r="X25" i="99" s="1"/>
  <c r="V36" i="99"/>
  <c r="X36" i="99" s="1"/>
  <c r="V20" i="99"/>
  <c r="X20" i="99" s="1"/>
  <c r="V31" i="99"/>
  <c r="X31" i="99" s="1"/>
  <c r="V38" i="99"/>
  <c r="X38" i="99" s="1"/>
  <c r="V33" i="99"/>
  <c r="X33" i="99" s="1"/>
  <c r="V17" i="99"/>
  <c r="X17" i="99" s="1"/>
  <c r="V28" i="99"/>
  <c r="X28" i="99" s="1"/>
  <c r="V39" i="99"/>
  <c r="X39" i="99" s="1"/>
  <c r="V23" i="99"/>
  <c r="X23" i="99" s="1"/>
  <c r="V30" i="99"/>
  <c r="X30" i="99" s="1"/>
  <c r="U48" i="99"/>
  <c r="U47" i="99"/>
  <c r="U75" i="90"/>
  <c r="U74" i="119"/>
  <c r="U73" i="119"/>
  <c r="U51" i="119"/>
  <c r="U52" i="119"/>
  <c r="U83" i="119"/>
  <c r="U84" i="119"/>
  <c r="U70" i="119"/>
  <c r="U69" i="119"/>
  <c r="U55" i="119"/>
  <c r="U56" i="119"/>
  <c r="U87" i="119"/>
  <c r="U88" i="119"/>
  <c r="U49" i="119"/>
  <c r="U50" i="119"/>
  <c r="U81" i="119"/>
  <c r="U82" i="119"/>
  <c r="U59" i="119"/>
  <c r="U60" i="119"/>
  <c r="U91" i="119"/>
  <c r="U92" i="119"/>
  <c r="U78" i="119"/>
  <c r="U77" i="119"/>
  <c r="U63" i="119"/>
  <c r="U64" i="119"/>
  <c r="U95" i="119"/>
  <c r="U96" i="119"/>
  <c r="U58" i="119"/>
  <c r="U57" i="119"/>
  <c r="U90" i="119"/>
  <c r="U89" i="119"/>
  <c r="U67" i="119"/>
  <c r="U68" i="119"/>
  <c r="U53" i="119"/>
  <c r="U54" i="119"/>
  <c r="U85" i="119"/>
  <c r="U86" i="119"/>
  <c r="U71" i="119"/>
  <c r="U72" i="119"/>
  <c r="U66" i="119"/>
  <c r="U65" i="119"/>
  <c r="U75" i="119"/>
  <c r="U76" i="119"/>
  <c r="U61" i="119"/>
  <c r="U62" i="119"/>
  <c r="U93" i="119"/>
  <c r="U94" i="119"/>
  <c r="U79" i="119"/>
  <c r="U80" i="119"/>
  <c r="U59" i="118"/>
  <c r="U60" i="118"/>
  <c r="U91" i="118"/>
  <c r="U92" i="118"/>
  <c r="U77" i="118"/>
  <c r="U78" i="118"/>
  <c r="U63" i="118"/>
  <c r="U64" i="118"/>
  <c r="U95" i="118"/>
  <c r="U96" i="118"/>
  <c r="U73" i="118"/>
  <c r="U74" i="118"/>
  <c r="U67" i="118"/>
  <c r="U68" i="118"/>
  <c r="U54" i="118"/>
  <c r="U53" i="118"/>
  <c r="U85" i="118"/>
  <c r="U86" i="118"/>
  <c r="U71" i="118"/>
  <c r="U72" i="118"/>
  <c r="U50" i="118"/>
  <c r="U49" i="118"/>
  <c r="U81" i="118"/>
  <c r="U82" i="118"/>
  <c r="U75" i="118"/>
  <c r="U76" i="118"/>
  <c r="U62" i="118"/>
  <c r="U61" i="118"/>
  <c r="U93" i="118"/>
  <c r="U94" i="118"/>
  <c r="U79" i="118"/>
  <c r="U80" i="118"/>
  <c r="U58" i="118"/>
  <c r="U57" i="118"/>
  <c r="U89" i="118"/>
  <c r="U90" i="118"/>
  <c r="U51" i="118"/>
  <c r="U52" i="118"/>
  <c r="U83" i="118"/>
  <c r="U84" i="118"/>
  <c r="U69" i="118"/>
  <c r="U70" i="118"/>
  <c r="U55" i="118"/>
  <c r="U56" i="118"/>
  <c r="U87" i="118"/>
  <c r="U88" i="118"/>
  <c r="U66" i="118"/>
  <c r="U65" i="118"/>
  <c r="U79" i="117"/>
  <c r="U80" i="117"/>
  <c r="U58" i="117"/>
  <c r="U57" i="117"/>
  <c r="U90" i="117"/>
  <c r="U89" i="117"/>
  <c r="U67" i="117"/>
  <c r="U68" i="117"/>
  <c r="U53" i="117"/>
  <c r="U54" i="117"/>
  <c r="U86" i="117"/>
  <c r="U85" i="117"/>
  <c r="U56" i="117"/>
  <c r="U55" i="117"/>
  <c r="U87" i="117"/>
  <c r="U88" i="117"/>
  <c r="U66" i="117"/>
  <c r="U65" i="117"/>
  <c r="U75" i="117"/>
  <c r="U76" i="117"/>
  <c r="U62" i="117"/>
  <c r="U61" i="117"/>
  <c r="U94" i="117"/>
  <c r="U93" i="117"/>
  <c r="U64" i="117"/>
  <c r="U63" i="117"/>
  <c r="U95" i="117"/>
  <c r="U96" i="117"/>
  <c r="U74" i="117"/>
  <c r="U73" i="117"/>
  <c r="U52" i="117"/>
  <c r="U51" i="117"/>
  <c r="U83" i="117"/>
  <c r="U84" i="117"/>
  <c r="U70" i="117"/>
  <c r="U69" i="117"/>
  <c r="U71" i="117"/>
  <c r="U72" i="117"/>
  <c r="U49" i="117"/>
  <c r="U50" i="117"/>
  <c r="U82" i="117"/>
  <c r="U81" i="117"/>
  <c r="U60" i="117"/>
  <c r="U59" i="117"/>
  <c r="U91" i="117"/>
  <c r="U92" i="117"/>
  <c r="U78" i="117"/>
  <c r="U77" i="117"/>
  <c r="U79" i="109"/>
  <c r="U80" i="109"/>
  <c r="U58" i="109"/>
  <c r="U57" i="109"/>
  <c r="U90" i="109"/>
  <c r="U89" i="109"/>
  <c r="U67" i="109"/>
  <c r="U68" i="109"/>
  <c r="U53" i="109"/>
  <c r="U54" i="109"/>
  <c r="U86" i="109"/>
  <c r="U85" i="109"/>
  <c r="U55" i="109"/>
  <c r="U56" i="109"/>
  <c r="U87" i="109"/>
  <c r="U88" i="109"/>
  <c r="U65" i="109"/>
  <c r="U66" i="109"/>
  <c r="U75" i="109"/>
  <c r="U76" i="109"/>
  <c r="U61" i="109"/>
  <c r="U62" i="109"/>
  <c r="U94" i="109"/>
  <c r="U93" i="109"/>
  <c r="U63" i="109"/>
  <c r="U64" i="109"/>
  <c r="U95" i="109"/>
  <c r="U96" i="109"/>
  <c r="U74" i="109"/>
  <c r="U73" i="109"/>
  <c r="U52" i="109"/>
  <c r="U51" i="109"/>
  <c r="U83" i="109"/>
  <c r="U84" i="109"/>
  <c r="U70" i="109"/>
  <c r="U69" i="109"/>
  <c r="U71" i="109"/>
  <c r="U72" i="109"/>
  <c r="U49" i="109"/>
  <c r="U50" i="109"/>
  <c r="U82" i="109"/>
  <c r="U81" i="109"/>
  <c r="U59" i="109"/>
  <c r="U60" i="109"/>
  <c r="U91" i="109"/>
  <c r="U92" i="109"/>
  <c r="U78" i="109"/>
  <c r="U77" i="109"/>
  <c r="U77" i="101"/>
  <c r="U78" i="101"/>
  <c r="U80" i="101"/>
  <c r="U79" i="101"/>
  <c r="U85" i="101"/>
  <c r="U86" i="101"/>
  <c r="U73" i="101"/>
  <c r="U74" i="101"/>
  <c r="U69" i="101"/>
  <c r="U70" i="101"/>
  <c r="U68" i="101"/>
  <c r="U67" i="101"/>
  <c r="U56" i="101"/>
  <c r="U55" i="101"/>
  <c r="U88" i="101"/>
  <c r="U87" i="101"/>
  <c r="U49" i="101"/>
  <c r="U50" i="101"/>
  <c r="U81" i="101"/>
  <c r="U82" i="101"/>
  <c r="U93" i="101"/>
  <c r="U94" i="101"/>
  <c r="U76" i="101"/>
  <c r="U75" i="101"/>
  <c r="U64" i="101"/>
  <c r="U63" i="101"/>
  <c r="U96" i="101"/>
  <c r="U95" i="101"/>
  <c r="U58" i="101"/>
  <c r="U57" i="101"/>
  <c r="U89" i="101"/>
  <c r="U90" i="101"/>
  <c r="U52" i="101"/>
  <c r="U51" i="101"/>
  <c r="U84" i="101"/>
  <c r="U83" i="101"/>
  <c r="U62" i="101"/>
  <c r="U61" i="101"/>
  <c r="U72" i="101"/>
  <c r="U71" i="101"/>
  <c r="U54" i="101"/>
  <c r="U53" i="101"/>
  <c r="U66" i="101"/>
  <c r="U65" i="101"/>
  <c r="U60" i="101"/>
  <c r="U59" i="101"/>
  <c r="U92" i="101"/>
  <c r="U91" i="101"/>
  <c r="U81" i="98"/>
  <c r="U82" i="98"/>
  <c r="U73" i="98"/>
  <c r="U74" i="98"/>
  <c r="U65" i="98"/>
  <c r="U66" i="98"/>
  <c r="U57" i="98"/>
  <c r="U58" i="98"/>
  <c r="U51" i="98"/>
  <c r="U52" i="98"/>
  <c r="U83" i="98"/>
  <c r="U84" i="98"/>
  <c r="U50" i="98"/>
  <c r="U49" i="98"/>
  <c r="U93" i="98"/>
  <c r="U94" i="98"/>
  <c r="U85" i="98"/>
  <c r="U86" i="98"/>
  <c r="U77" i="98"/>
  <c r="U78" i="98"/>
  <c r="U69" i="98"/>
  <c r="U70" i="98"/>
  <c r="U59" i="98"/>
  <c r="U60" i="98"/>
  <c r="U91" i="98"/>
  <c r="U92" i="98"/>
  <c r="U62" i="98"/>
  <c r="U61" i="98"/>
  <c r="U54" i="98"/>
  <c r="U53" i="98"/>
  <c r="U95" i="98"/>
  <c r="U96" i="98"/>
  <c r="U87" i="98"/>
  <c r="U88" i="98"/>
  <c r="U79" i="98"/>
  <c r="U80" i="98"/>
  <c r="U67" i="98"/>
  <c r="U68" i="98"/>
  <c r="U71" i="98"/>
  <c r="U72" i="98"/>
  <c r="U64" i="98"/>
  <c r="U63" i="98"/>
  <c r="U55" i="98"/>
  <c r="U56" i="98"/>
  <c r="U89" i="98"/>
  <c r="U90" i="98"/>
  <c r="U75" i="98"/>
  <c r="U76" i="98"/>
  <c r="U89" i="97"/>
  <c r="U90" i="97"/>
  <c r="U81" i="97"/>
  <c r="U82" i="97"/>
  <c r="U73" i="97"/>
  <c r="U74" i="97"/>
  <c r="U66" i="97"/>
  <c r="U65" i="97"/>
  <c r="U54" i="97"/>
  <c r="U53" i="97"/>
  <c r="U85" i="97"/>
  <c r="U86" i="97"/>
  <c r="U58" i="97"/>
  <c r="U57" i="97"/>
  <c r="U50" i="97"/>
  <c r="U49" i="97"/>
  <c r="U91" i="97"/>
  <c r="U92" i="97"/>
  <c r="U83" i="97"/>
  <c r="U84" i="97"/>
  <c r="U75" i="97"/>
  <c r="U76" i="97"/>
  <c r="U62" i="97"/>
  <c r="U61" i="97"/>
  <c r="U93" i="97"/>
  <c r="U94" i="97"/>
  <c r="U67" i="97"/>
  <c r="U68" i="97"/>
  <c r="U59" i="97"/>
  <c r="U60" i="97"/>
  <c r="U51" i="97"/>
  <c r="U52" i="97"/>
  <c r="U95" i="97"/>
  <c r="U96" i="97"/>
  <c r="U87" i="97"/>
  <c r="U88" i="97"/>
  <c r="U69" i="97"/>
  <c r="U70" i="97"/>
  <c r="U79" i="97"/>
  <c r="U80" i="97"/>
  <c r="U71" i="97"/>
  <c r="U72" i="97"/>
  <c r="U64" i="97"/>
  <c r="U63" i="97"/>
  <c r="U55" i="97"/>
  <c r="U56" i="97"/>
  <c r="U77" i="97"/>
  <c r="U78" i="97"/>
  <c r="U62" i="95"/>
  <c r="U61" i="95"/>
  <c r="U93" i="95"/>
  <c r="U94" i="95"/>
  <c r="U79" i="95"/>
  <c r="U80" i="95"/>
  <c r="U57" i="95"/>
  <c r="U58" i="95"/>
  <c r="U89" i="95"/>
  <c r="U90" i="95"/>
  <c r="U67" i="95"/>
  <c r="U68" i="95"/>
  <c r="U69" i="95"/>
  <c r="U70" i="95"/>
  <c r="U55" i="95"/>
  <c r="U56" i="95"/>
  <c r="U87" i="95"/>
  <c r="U88" i="95"/>
  <c r="U65" i="95"/>
  <c r="U66" i="95"/>
  <c r="U75" i="95"/>
  <c r="U76" i="95"/>
  <c r="U77" i="95"/>
  <c r="U78" i="95"/>
  <c r="U63" i="95"/>
  <c r="U64" i="95"/>
  <c r="U95" i="95"/>
  <c r="U96" i="95"/>
  <c r="U73" i="95"/>
  <c r="U74" i="95"/>
  <c r="U51" i="95"/>
  <c r="U52" i="95"/>
  <c r="U83" i="95"/>
  <c r="U84" i="95"/>
  <c r="U54" i="95"/>
  <c r="U53" i="95"/>
  <c r="U85" i="95"/>
  <c r="U86" i="95"/>
  <c r="U71" i="95"/>
  <c r="U72" i="95"/>
  <c r="U50" i="95"/>
  <c r="U49" i="95"/>
  <c r="U81" i="95"/>
  <c r="U82" i="95"/>
  <c r="U59" i="95"/>
  <c r="U60" i="95"/>
  <c r="U91" i="95"/>
  <c r="U92" i="95"/>
  <c r="U60" i="93"/>
  <c r="U59" i="93"/>
  <c r="U73" i="93"/>
  <c r="U74" i="93"/>
  <c r="U68" i="93"/>
  <c r="U67" i="93"/>
  <c r="U53" i="93"/>
  <c r="U54" i="93"/>
  <c r="U85" i="93"/>
  <c r="U86" i="93"/>
  <c r="U72" i="93"/>
  <c r="U71" i="93"/>
  <c r="U49" i="93"/>
  <c r="U50" i="93"/>
  <c r="U81" i="93"/>
  <c r="U82" i="93"/>
  <c r="U91" i="93"/>
  <c r="U92" i="93"/>
  <c r="U95" i="93"/>
  <c r="U96" i="93"/>
  <c r="U76" i="93"/>
  <c r="U75" i="93"/>
  <c r="U61" i="93"/>
  <c r="U62" i="93"/>
  <c r="U93" i="93"/>
  <c r="U94" i="93"/>
  <c r="U80" i="93"/>
  <c r="U79" i="93"/>
  <c r="U57" i="93"/>
  <c r="U58" i="93"/>
  <c r="U89" i="93"/>
  <c r="U90" i="93"/>
  <c r="U77" i="93"/>
  <c r="U78" i="93"/>
  <c r="U64" i="93"/>
  <c r="U63" i="93"/>
  <c r="U52" i="93"/>
  <c r="U51" i="93"/>
  <c r="U83" i="93"/>
  <c r="U84" i="93"/>
  <c r="U69" i="93"/>
  <c r="U70" i="93"/>
  <c r="U56" i="93"/>
  <c r="U55" i="93"/>
  <c r="U87" i="93"/>
  <c r="U88" i="93"/>
  <c r="U65" i="93"/>
  <c r="U66" i="93"/>
  <c r="U76" i="91"/>
  <c r="U75" i="91"/>
  <c r="U61" i="91"/>
  <c r="U62" i="91"/>
  <c r="U93" i="91"/>
  <c r="U94" i="91"/>
  <c r="U79" i="91"/>
  <c r="U80" i="91"/>
  <c r="U57" i="91"/>
  <c r="U58" i="91"/>
  <c r="U89" i="91"/>
  <c r="U90" i="91"/>
  <c r="U52" i="91"/>
  <c r="U51" i="91"/>
  <c r="U83" i="91"/>
  <c r="U84" i="91"/>
  <c r="U69" i="91"/>
  <c r="U70" i="91"/>
  <c r="U56" i="91"/>
  <c r="U55" i="91"/>
  <c r="U87" i="91"/>
  <c r="U88" i="91"/>
  <c r="U65" i="91"/>
  <c r="U66" i="91"/>
  <c r="U60" i="91"/>
  <c r="U59" i="91"/>
  <c r="U91" i="91"/>
  <c r="U92" i="91"/>
  <c r="U77" i="91"/>
  <c r="U78" i="91"/>
  <c r="U64" i="91"/>
  <c r="U63" i="91"/>
  <c r="U95" i="91"/>
  <c r="U96" i="91"/>
  <c r="U73" i="91"/>
  <c r="U74" i="91"/>
  <c r="U68" i="91"/>
  <c r="U67" i="91"/>
  <c r="U53" i="91"/>
  <c r="U54" i="91"/>
  <c r="U85" i="91"/>
  <c r="U86" i="91"/>
  <c r="U72" i="91"/>
  <c r="U71" i="91"/>
  <c r="U49" i="91"/>
  <c r="U50" i="91"/>
  <c r="U81" i="91"/>
  <c r="U82" i="91"/>
  <c r="U77" i="89"/>
  <c r="U78" i="89"/>
  <c r="U64" i="89"/>
  <c r="U63" i="89"/>
  <c r="U95" i="89"/>
  <c r="U96" i="89"/>
  <c r="U73" i="89"/>
  <c r="U74" i="89"/>
  <c r="U51" i="89"/>
  <c r="U52" i="89"/>
  <c r="U83" i="89"/>
  <c r="U84" i="89"/>
  <c r="U53" i="89"/>
  <c r="U54" i="89"/>
  <c r="U85" i="89"/>
  <c r="U86" i="89"/>
  <c r="U71" i="89"/>
  <c r="U72" i="89"/>
  <c r="U49" i="89"/>
  <c r="U50" i="89"/>
  <c r="U81" i="89"/>
  <c r="U82" i="89"/>
  <c r="U59" i="89"/>
  <c r="U60" i="89"/>
  <c r="U91" i="89"/>
  <c r="U92" i="89"/>
  <c r="U61" i="89"/>
  <c r="U62" i="89"/>
  <c r="U93" i="89"/>
  <c r="U94" i="89"/>
  <c r="U79" i="89"/>
  <c r="U80" i="89"/>
  <c r="U57" i="89"/>
  <c r="U58" i="89"/>
  <c r="U89" i="89"/>
  <c r="U90" i="89"/>
  <c r="U67" i="89"/>
  <c r="U68" i="89"/>
  <c r="U69" i="89"/>
  <c r="U70" i="89"/>
  <c r="U55" i="89"/>
  <c r="U56" i="89"/>
  <c r="U87" i="89"/>
  <c r="U88" i="89"/>
  <c r="U65" i="89"/>
  <c r="U66" i="89"/>
  <c r="U75" i="89"/>
  <c r="U76" i="89"/>
  <c r="U63" i="88"/>
  <c r="U64" i="88"/>
  <c r="U95" i="88"/>
  <c r="U96" i="88"/>
  <c r="U73" i="88"/>
  <c r="U74" i="88"/>
  <c r="U51" i="88"/>
  <c r="U52" i="88"/>
  <c r="U83" i="88"/>
  <c r="U84" i="88"/>
  <c r="U69" i="88"/>
  <c r="U70" i="88"/>
  <c r="U71" i="88"/>
  <c r="U72" i="88"/>
  <c r="U49" i="88"/>
  <c r="U50" i="88"/>
  <c r="U82" i="88"/>
  <c r="U81" i="88"/>
  <c r="U59" i="88"/>
  <c r="U60" i="88"/>
  <c r="U91" i="88"/>
  <c r="U92" i="88"/>
  <c r="U77" i="88"/>
  <c r="U78" i="88"/>
  <c r="U79" i="88"/>
  <c r="U80" i="88"/>
  <c r="U57" i="88"/>
  <c r="U58" i="88"/>
  <c r="U90" i="88"/>
  <c r="U89" i="88"/>
  <c r="U67" i="88"/>
  <c r="U68" i="88"/>
  <c r="U53" i="88"/>
  <c r="U54" i="88"/>
  <c r="U86" i="88"/>
  <c r="U85" i="88"/>
  <c r="U55" i="88"/>
  <c r="U56" i="88"/>
  <c r="U87" i="88"/>
  <c r="U88" i="88"/>
  <c r="U65" i="88"/>
  <c r="U66" i="88"/>
  <c r="U75" i="88"/>
  <c r="U76" i="88"/>
  <c r="U61" i="88"/>
  <c r="U62" i="88"/>
  <c r="U94" i="88"/>
  <c r="U93" i="88"/>
  <c r="U58" i="87"/>
  <c r="U57" i="87"/>
  <c r="U89" i="87"/>
  <c r="U90" i="87"/>
  <c r="U67" i="87"/>
  <c r="U68" i="87"/>
  <c r="U53" i="87"/>
  <c r="U54" i="87"/>
  <c r="U86" i="87"/>
  <c r="U85" i="87"/>
  <c r="U71" i="87"/>
  <c r="U72" i="87"/>
  <c r="U66" i="87"/>
  <c r="U65" i="87"/>
  <c r="U75" i="87"/>
  <c r="U76" i="87"/>
  <c r="U61" i="87"/>
  <c r="U62" i="87"/>
  <c r="U93" i="87"/>
  <c r="U94" i="87"/>
  <c r="U79" i="87"/>
  <c r="U80" i="87"/>
  <c r="U74" i="87"/>
  <c r="U73" i="87"/>
  <c r="U52" i="87"/>
  <c r="U51" i="87"/>
  <c r="U83" i="87"/>
  <c r="U84" i="87"/>
  <c r="U70" i="87"/>
  <c r="U69" i="87"/>
  <c r="U56" i="87"/>
  <c r="U55" i="87"/>
  <c r="U87" i="87"/>
  <c r="U88" i="87"/>
  <c r="U50" i="87"/>
  <c r="U49" i="87"/>
  <c r="U82" i="87"/>
  <c r="U81" i="87"/>
  <c r="U60" i="87"/>
  <c r="U59" i="87"/>
  <c r="U91" i="87"/>
  <c r="U92" i="87"/>
  <c r="U78" i="87"/>
  <c r="U77" i="87"/>
  <c r="U63" i="87"/>
  <c r="U64" i="87"/>
  <c r="U95" i="87"/>
  <c r="U96" i="87"/>
  <c r="U58" i="86"/>
  <c r="U57" i="86"/>
  <c r="U89" i="86"/>
  <c r="U90" i="86"/>
  <c r="U68" i="86"/>
  <c r="U67" i="86"/>
  <c r="U54" i="86"/>
  <c r="U53" i="86"/>
  <c r="U85" i="86"/>
  <c r="U86" i="86"/>
  <c r="U71" i="86"/>
  <c r="U72" i="86"/>
  <c r="U66" i="86"/>
  <c r="U65" i="86"/>
  <c r="U75" i="86"/>
  <c r="U76" i="86"/>
  <c r="U62" i="86"/>
  <c r="U61" i="86"/>
  <c r="U93" i="86"/>
  <c r="U94" i="86"/>
  <c r="U79" i="86"/>
  <c r="U80" i="86"/>
  <c r="U73" i="86"/>
  <c r="U74" i="86"/>
  <c r="U51" i="86"/>
  <c r="U52" i="86"/>
  <c r="U83" i="86"/>
  <c r="U84" i="86"/>
  <c r="U69" i="86"/>
  <c r="U70" i="86"/>
  <c r="U55" i="86"/>
  <c r="U56" i="86"/>
  <c r="U87" i="86"/>
  <c r="U88" i="86"/>
  <c r="U50" i="86"/>
  <c r="U49" i="86"/>
  <c r="U81" i="86"/>
  <c r="U82" i="86"/>
  <c r="U59" i="86"/>
  <c r="U60" i="86"/>
  <c r="U91" i="86"/>
  <c r="U92" i="86"/>
  <c r="U77" i="86"/>
  <c r="U78" i="86"/>
  <c r="U64" i="86"/>
  <c r="U63" i="86"/>
  <c r="U95" i="86"/>
  <c r="U96" i="86"/>
  <c r="V27" i="45"/>
  <c r="X27" i="45" s="1"/>
  <c r="V34" i="45"/>
  <c r="X34" i="45" s="1"/>
  <c r="V18" i="45"/>
  <c r="X18" i="45" s="1"/>
  <c r="V25" i="45"/>
  <c r="X25" i="45" s="1"/>
  <c r="V36" i="45"/>
  <c r="X36" i="45" s="1"/>
  <c r="V20" i="45"/>
  <c r="X20" i="45" s="1"/>
  <c r="V39" i="45"/>
  <c r="X39" i="45" s="1"/>
  <c r="V23" i="45"/>
  <c r="X23" i="45" s="1"/>
  <c r="V30" i="45"/>
  <c r="X30" i="45" s="1"/>
  <c r="V37" i="45"/>
  <c r="X37" i="45" s="1"/>
  <c r="V21" i="45"/>
  <c r="X21" i="45" s="1"/>
  <c r="V32" i="45"/>
  <c r="X32" i="45" s="1"/>
  <c r="V16" i="45"/>
  <c r="X16" i="45" s="1"/>
  <c r="V35" i="45"/>
  <c r="X35" i="45" s="1"/>
  <c r="V19" i="45"/>
  <c r="X19" i="45" s="1"/>
  <c r="V26" i="45"/>
  <c r="X26" i="45" s="1"/>
  <c r="V33" i="45"/>
  <c r="X33" i="45" s="1"/>
  <c r="V17" i="45"/>
  <c r="X17" i="45" s="1"/>
  <c r="V28" i="45"/>
  <c r="X28" i="45" s="1"/>
  <c r="V31" i="45"/>
  <c r="X31" i="45" s="1"/>
  <c r="V38" i="45"/>
  <c r="X38" i="45" s="1"/>
  <c r="V22" i="45"/>
  <c r="X22" i="45" s="1"/>
  <c r="V29" i="45"/>
  <c r="X29" i="45" s="1"/>
  <c r="V40" i="45"/>
  <c r="X40" i="45" s="1"/>
  <c r="U97" i="45" s="1"/>
  <c r="V24" i="45"/>
  <c r="X24" i="45" s="1"/>
  <c r="U47" i="45"/>
  <c r="U48" i="45"/>
  <c r="V16" i="44"/>
  <c r="X16" i="44" s="1"/>
  <c r="V19" i="44"/>
  <c r="X19" i="44" s="1"/>
  <c r="V35" i="44"/>
  <c r="X35" i="44" s="1"/>
  <c r="V23" i="44"/>
  <c r="X23" i="44" s="1"/>
  <c r="V39" i="44"/>
  <c r="X39" i="44" s="1"/>
  <c r="V27" i="44"/>
  <c r="X27" i="44" s="1"/>
  <c r="V31" i="44"/>
  <c r="X31" i="44" s="1"/>
  <c r="V34" i="44"/>
  <c r="X34" i="44" s="1"/>
  <c r="V18" i="44"/>
  <c r="X18" i="44" s="1"/>
  <c r="V25" i="44"/>
  <c r="X25" i="44" s="1"/>
  <c r="V36" i="44"/>
  <c r="X36" i="44" s="1"/>
  <c r="V20" i="44"/>
  <c r="X20" i="44" s="1"/>
  <c r="V30" i="44"/>
  <c r="X30" i="44" s="1"/>
  <c r="V37" i="44"/>
  <c r="X37" i="44" s="1"/>
  <c r="V21" i="44"/>
  <c r="X21" i="44" s="1"/>
  <c r="V32" i="44"/>
  <c r="X32" i="44" s="1"/>
  <c r="V26" i="44"/>
  <c r="X26" i="44" s="1"/>
  <c r="V33" i="44"/>
  <c r="X33" i="44" s="1"/>
  <c r="V17" i="44"/>
  <c r="X17" i="44" s="1"/>
  <c r="V28" i="44"/>
  <c r="X28" i="44" s="1"/>
  <c r="V38" i="44"/>
  <c r="X38" i="44" s="1"/>
  <c r="V22" i="44"/>
  <c r="X22" i="44" s="1"/>
  <c r="V29" i="44"/>
  <c r="X29" i="44" s="1"/>
  <c r="V40" i="44"/>
  <c r="X40" i="44" s="1"/>
  <c r="U97" i="44" s="1"/>
  <c r="V24" i="44"/>
  <c r="X24" i="44" s="1"/>
  <c r="B28" i="45"/>
  <c r="U48" i="44"/>
  <c r="U47" i="44"/>
  <c r="B28" i="43"/>
  <c r="B27" i="43"/>
  <c r="B26" i="43"/>
  <c r="B29" i="43"/>
  <c r="U73" i="115" l="1"/>
  <c r="U74" i="115"/>
  <c r="U88" i="115"/>
  <c r="U87" i="115"/>
  <c r="U82" i="115"/>
  <c r="U81" i="115"/>
  <c r="U63" i="115"/>
  <c r="U64" i="115"/>
  <c r="U67" i="115"/>
  <c r="U68" i="115"/>
  <c r="U66" i="115"/>
  <c r="U65" i="115"/>
  <c r="U93" i="115"/>
  <c r="U94" i="115"/>
  <c r="U83" i="115"/>
  <c r="U84" i="115"/>
  <c r="U59" i="115"/>
  <c r="U60" i="115"/>
  <c r="U96" i="115"/>
  <c r="U95" i="115"/>
  <c r="U54" i="115"/>
  <c r="U53" i="115"/>
  <c r="U80" i="115"/>
  <c r="U79" i="115"/>
  <c r="U70" i="115"/>
  <c r="U69" i="115"/>
  <c r="U91" i="115"/>
  <c r="U92" i="115"/>
  <c r="U58" i="115"/>
  <c r="U57" i="115"/>
  <c r="U86" i="115"/>
  <c r="U85" i="115"/>
  <c r="U76" i="115"/>
  <c r="U75" i="115"/>
  <c r="U55" i="115"/>
  <c r="U56" i="115"/>
  <c r="U50" i="115"/>
  <c r="U49" i="115"/>
  <c r="U77" i="115"/>
  <c r="U78" i="115"/>
  <c r="U89" i="115"/>
  <c r="U90" i="115"/>
  <c r="U72" i="115"/>
  <c r="U71" i="115"/>
  <c r="U61" i="115"/>
  <c r="U62" i="115"/>
  <c r="U52" i="115"/>
  <c r="U51" i="115"/>
  <c r="U52" i="110"/>
  <c r="U51" i="110"/>
  <c r="U87" i="110"/>
  <c r="U88" i="110"/>
  <c r="U93" i="110"/>
  <c r="U94" i="110"/>
  <c r="U91" i="110"/>
  <c r="U92" i="110"/>
  <c r="U67" i="110"/>
  <c r="U68" i="110"/>
  <c r="U84" i="110"/>
  <c r="U83" i="110"/>
  <c r="U65" i="110"/>
  <c r="U66" i="110"/>
  <c r="U49" i="110"/>
  <c r="U50" i="110"/>
  <c r="U77" i="110"/>
  <c r="U78" i="110"/>
  <c r="U79" i="110"/>
  <c r="U80" i="110"/>
  <c r="U53" i="110"/>
  <c r="U54" i="110"/>
  <c r="U69" i="110"/>
  <c r="U70" i="110"/>
  <c r="U76" i="110"/>
  <c r="U75" i="110"/>
  <c r="U81" i="110"/>
  <c r="U82" i="110"/>
  <c r="U63" i="110"/>
  <c r="U64" i="110"/>
  <c r="U57" i="110"/>
  <c r="U58" i="110"/>
  <c r="U85" i="110"/>
  <c r="U86" i="110"/>
  <c r="U73" i="110"/>
  <c r="U74" i="110"/>
  <c r="U55" i="110"/>
  <c r="U56" i="110"/>
  <c r="U61" i="110"/>
  <c r="U62" i="110"/>
  <c r="U59" i="110"/>
  <c r="U60" i="110"/>
  <c r="U95" i="110"/>
  <c r="U96" i="110"/>
  <c r="U89" i="110"/>
  <c r="U90" i="110"/>
  <c r="U71" i="110"/>
  <c r="U72" i="110"/>
  <c r="U77" i="107"/>
  <c r="U78" i="107"/>
  <c r="U61" i="107"/>
  <c r="U62" i="107"/>
  <c r="U64" i="107"/>
  <c r="U63" i="107"/>
  <c r="U49" i="107"/>
  <c r="U50" i="107"/>
  <c r="U75" i="107"/>
  <c r="U76" i="107"/>
  <c r="U93" i="107"/>
  <c r="U94" i="107"/>
  <c r="U85" i="107"/>
  <c r="U86" i="107"/>
  <c r="U56" i="107"/>
  <c r="U55" i="107"/>
  <c r="U89" i="107"/>
  <c r="U90" i="107"/>
  <c r="U95" i="107"/>
  <c r="U96" i="107"/>
  <c r="U92" i="107"/>
  <c r="U91" i="107"/>
  <c r="U67" i="107"/>
  <c r="U68" i="107"/>
  <c r="U79" i="107"/>
  <c r="U80" i="107"/>
  <c r="U87" i="107"/>
  <c r="U88" i="107"/>
  <c r="U81" i="107"/>
  <c r="U82" i="107"/>
  <c r="U65" i="107"/>
  <c r="U66" i="107"/>
  <c r="U83" i="107"/>
  <c r="U84" i="107"/>
  <c r="U60" i="107"/>
  <c r="U59" i="107"/>
  <c r="U69" i="107"/>
  <c r="U70" i="107"/>
  <c r="U53" i="107"/>
  <c r="U54" i="107"/>
  <c r="U73" i="107"/>
  <c r="U74" i="107"/>
  <c r="U58" i="107"/>
  <c r="U57" i="107"/>
  <c r="U71" i="107"/>
  <c r="U72" i="107"/>
  <c r="U52" i="107"/>
  <c r="U51" i="107"/>
  <c r="U80" i="104"/>
  <c r="U79" i="104"/>
  <c r="U92" i="104"/>
  <c r="U91" i="104"/>
  <c r="U57" i="104"/>
  <c r="U58" i="104"/>
  <c r="U86" i="104"/>
  <c r="U85" i="104"/>
  <c r="U75" i="104"/>
  <c r="U76" i="104"/>
  <c r="U74" i="104"/>
  <c r="U73" i="104"/>
  <c r="U55" i="104"/>
  <c r="U56" i="104"/>
  <c r="U49" i="104"/>
  <c r="U50" i="104"/>
  <c r="U77" i="104"/>
  <c r="U78" i="104"/>
  <c r="U89" i="104"/>
  <c r="U90" i="104"/>
  <c r="U72" i="104"/>
  <c r="U71" i="104"/>
  <c r="U61" i="104"/>
  <c r="U62" i="104"/>
  <c r="U52" i="104"/>
  <c r="U51" i="104"/>
  <c r="U88" i="104"/>
  <c r="U87" i="104"/>
  <c r="U82" i="104"/>
  <c r="U81" i="104"/>
  <c r="U63" i="104"/>
  <c r="U64" i="104"/>
  <c r="U68" i="104"/>
  <c r="U67" i="104"/>
  <c r="U65" i="104"/>
  <c r="U66" i="104"/>
  <c r="U93" i="104"/>
  <c r="U94" i="104"/>
  <c r="U83" i="104"/>
  <c r="U84" i="104"/>
  <c r="U60" i="104"/>
  <c r="U59" i="104"/>
  <c r="U96" i="104"/>
  <c r="U95" i="104"/>
  <c r="U54" i="104"/>
  <c r="U53" i="104"/>
  <c r="U70" i="104"/>
  <c r="U69" i="104"/>
  <c r="U64" i="99"/>
  <c r="U63" i="99"/>
  <c r="U84" i="99"/>
  <c r="U83" i="99"/>
  <c r="U90" i="99"/>
  <c r="U89" i="99"/>
  <c r="U71" i="99"/>
  <c r="U72" i="99"/>
  <c r="U92" i="99"/>
  <c r="U91" i="99"/>
  <c r="U88" i="99"/>
  <c r="U87" i="99"/>
  <c r="U95" i="99"/>
  <c r="U96" i="99"/>
  <c r="U93" i="99"/>
  <c r="U94" i="99"/>
  <c r="U68" i="99"/>
  <c r="U67" i="99"/>
  <c r="U50" i="99"/>
  <c r="U49" i="99"/>
  <c r="U61" i="99"/>
  <c r="U62" i="99"/>
  <c r="U65" i="99"/>
  <c r="U66" i="99"/>
  <c r="U74" i="99"/>
  <c r="U73" i="99"/>
  <c r="U80" i="99"/>
  <c r="U79" i="99"/>
  <c r="U54" i="99"/>
  <c r="U53" i="99"/>
  <c r="U82" i="99"/>
  <c r="U81" i="99"/>
  <c r="U70" i="99"/>
  <c r="U69" i="99"/>
  <c r="U78" i="99"/>
  <c r="U77" i="99"/>
  <c r="U52" i="99"/>
  <c r="U51" i="99"/>
  <c r="U58" i="99"/>
  <c r="U57" i="99"/>
  <c r="U86" i="99"/>
  <c r="U85" i="99"/>
  <c r="U60" i="99"/>
  <c r="U59" i="99"/>
  <c r="U55" i="99"/>
  <c r="U56" i="99"/>
  <c r="U76" i="99"/>
  <c r="U75" i="99"/>
  <c r="U79" i="45"/>
  <c r="U80" i="45"/>
  <c r="U69" i="45"/>
  <c r="U70" i="45"/>
  <c r="U81" i="45"/>
  <c r="U82" i="45"/>
  <c r="U63" i="45"/>
  <c r="U64" i="45"/>
  <c r="U67" i="45"/>
  <c r="U68" i="45"/>
  <c r="U75" i="45"/>
  <c r="U76" i="45"/>
  <c r="U73" i="45"/>
  <c r="U74" i="45"/>
  <c r="U55" i="45"/>
  <c r="U56" i="45"/>
  <c r="U59" i="45"/>
  <c r="U60" i="45"/>
  <c r="U95" i="45"/>
  <c r="U96" i="45"/>
  <c r="U53" i="45"/>
  <c r="U54" i="45"/>
  <c r="U61" i="45"/>
  <c r="U62" i="45"/>
  <c r="U51" i="45"/>
  <c r="U52" i="45"/>
  <c r="U87" i="45"/>
  <c r="U88" i="45"/>
  <c r="U91" i="45"/>
  <c r="U92" i="45"/>
  <c r="U57" i="45"/>
  <c r="U58" i="45"/>
  <c r="U85" i="45"/>
  <c r="U86" i="45"/>
  <c r="U65" i="45"/>
  <c r="U66" i="45"/>
  <c r="U93" i="45"/>
  <c r="U94" i="45"/>
  <c r="U83" i="45"/>
  <c r="U84" i="45"/>
  <c r="U49" i="45"/>
  <c r="U50" i="45"/>
  <c r="U77" i="45"/>
  <c r="U78" i="45"/>
  <c r="U89" i="45"/>
  <c r="U90" i="45"/>
  <c r="U71" i="45"/>
  <c r="U72" i="45"/>
  <c r="U73" i="44"/>
  <c r="U74" i="44"/>
  <c r="U81" i="44"/>
  <c r="U82" i="44"/>
  <c r="U57" i="44"/>
  <c r="U58" i="44"/>
  <c r="U85" i="44"/>
  <c r="U86" i="44"/>
  <c r="U64" i="44"/>
  <c r="U63" i="44"/>
  <c r="U76" i="44"/>
  <c r="U75" i="44"/>
  <c r="U52" i="44"/>
  <c r="U51" i="44"/>
  <c r="U59" i="44"/>
  <c r="U60" i="44"/>
  <c r="U89" i="44"/>
  <c r="U90" i="44"/>
  <c r="U80" i="44"/>
  <c r="U79" i="44"/>
  <c r="U88" i="44"/>
  <c r="U87" i="44"/>
  <c r="U61" i="44"/>
  <c r="U62" i="44"/>
  <c r="U84" i="44"/>
  <c r="U83" i="44"/>
  <c r="U91" i="44"/>
  <c r="U92" i="44"/>
  <c r="U68" i="44"/>
  <c r="U67" i="44"/>
  <c r="U72" i="44"/>
  <c r="U71" i="44"/>
  <c r="U56" i="44"/>
  <c r="U55" i="44"/>
  <c r="U66" i="44"/>
  <c r="U65" i="44"/>
  <c r="U93" i="44"/>
  <c r="U94" i="44"/>
  <c r="U69" i="44"/>
  <c r="U70" i="44"/>
  <c r="U78" i="44"/>
  <c r="U77" i="44"/>
  <c r="U53" i="44"/>
  <c r="U54" i="44"/>
  <c r="U96" i="44"/>
  <c r="U95" i="44"/>
  <c r="U49" i="44"/>
  <c r="U50" i="44"/>
  <c r="D102" i="43"/>
  <c r="D104" i="43"/>
  <c r="B40" i="43"/>
  <c r="A103" i="43"/>
  <c r="G102" i="43"/>
  <c r="G103" i="43" s="1"/>
  <c r="C102" i="43"/>
  <c r="E103" i="43"/>
  <c r="C104" i="43"/>
  <c r="E102" i="43"/>
  <c r="B39" i="43"/>
  <c r="D103" i="43" l="1"/>
  <c r="B103" i="43"/>
  <c r="B113" i="43"/>
  <c r="E113" i="43" s="1"/>
  <c r="B41" i="43"/>
  <c r="E106" i="43" l="1"/>
  <c r="E107" i="43"/>
</calcChain>
</file>

<file path=xl/sharedStrings.xml><?xml version="1.0" encoding="utf-8"?>
<sst xmlns="http://schemas.openxmlformats.org/spreadsheetml/2006/main" count="3255" uniqueCount="155">
  <si>
    <t>Zeit</t>
  </si>
  <si>
    <t>ln(Wert)</t>
  </si>
  <si>
    <t>x Standnorm</t>
  </si>
  <si>
    <t>x Norm</t>
  </si>
  <si>
    <t>x LogNorm</t>
  </si>
  <si>
    <t>p Norm</t>
  </si>
  <si>
    <t>p LogNorm</t>
  </si>
  <si>
    <t>Minimum</t>
  </si>
  <si>
    <t>Maximum</t>
  </si>
  <si>
    <t>Klasse</t>
  </si>
  <si>
    <t>Häufigkeit</t>
  </si>
  <si>
    <t>Anzahl</t>
  </si>
  <si>
    <t>Daten der Zeitreihe</t>
  </si>
  <si>
    <t>Histogramm</t>
  </si>
  <si>
    <t>Darstellung der Verteilungskurven</t>
  </si>
  <si>
    <t>Summe logNorm</t>
  </si>
  <si>
    <t>Zeitreihendarstellung</t>
  </si>
  <si>
    <t>Erwartungswert</t>
  </si>
  <si>
    <t>GFS/Ersatzwert</t>
  </si>
  <si>
    <t>Klassenbreite</t>
  </si>
  <si>
    <t>Angaben für die grafische Darstellung der Auslöseschwellen</t>
  </si>
  <si>
    <t>größer</t>
  </si>
  <si>
    <t>Klassen</t>
  </si>
  <si>
    <t>rel. Häufigkeit</t>
  </si>
  <si>
    <t>korrig. x-Koord.</t>
  </si>
  <si>
    <t>grobe Anpassung</t>
  </si>
  <si>
    <t>x Block</t>
  </si>
  <si>
    <t>y Block</t>
  </si>
  <si>
    <t>Q95</t>
  </si>
  <si>
    <t>Q98Log</t>
  </si>
  <si>
    <t>Angaben für die Darstellung der Quantile in der Verteilungsfunktion</t>
  </si>
  <si>
    <t>Q95u</t>
  </si>
  <si>
    <t>Q95uLog</t>
  </si>
  <si>
    <t>Messstelle:</t>
  </si>
  <si>
    <t>Wert ()</t>
  </si>
  <si>
    <t>x LogNkorr</t>
  </si>
  <si>
    <t>Transformationswert</t>
  </si>
  <si>
    <t>Korrelationskoeff.</t>
  </si>
  <si>
    <t>Ordinatendurchg.</t>
  </si>
  <si>
    <t>Steigung</t>
  </si>
  <si>
    <t>Min</t>
  </si>
  <si>
    <t>Max</t>
  </si>
  <si>
    <t>Trendberechnung</t>
  </si>
  <si>
    <t>krit. R/s</t>
  </si>
  <si>
    <t>Ausreißer vermutet</t>
  </si>
  <si>
    <t>Optimum: 0%</t>
  </si>
  <si>
    <t>Trendanalyse</t>
  </si>
  <si>
    <t>r005</t>
  </si>
  <si>
    <t>r001</t>
  </si>
  <si>
    <t>Ausreißertest</t>
  </si>
  <si>
    <t>krit. Korrelationskoeff.</t>
  </si>
  <si>
    <t>Irrtumswahrscheinl.</t>
  </si>
  <si>
    <t>&lt; 5%</t>
  </si>
  <si>
    <t>&lt;1%</t>
  </si>
  <si>
    <t>Bezugsintervall</t>
  </si>
  <si>
    <t>Angaben für die Darstellung der Hilfslinien</t>
  </si>
  <si>
    <t>AS</t>
  </si>
  <si>
    <t>Trendwert</t>
  </si>
  <si>
    <t>Residuen</t>
  </si>
  <si>
    <t>Geltungszeitraum</t>
  </si>
  <si>
    <t>Residuendiagramm</t>
  </si>
  <si>
    <t>abgesicherter Wert</t>
  </si>
  <si>
    <t>letzte Messung</t>
  </si>
  <si>
    <t>Statistische Daten der Residuenreihe</t>
  </si>
  <si>
    <t>Extrapolation</t>
  </si>
  <si>
    <t>AS Vorschlag</t>
  </si>
  <si>
    <t>gesich. Wert</t>
  </si>
  <si>
    <t>Projektionswert</t>
  </si>
  <si>
    <t>Median</t>
  </si>
  <si>
    <t>Trendwahrscheinlichkeit</t>
  </si>
  <si>
    <t>Einheit:</t>
  </si>
  <si>
    <t>mg/l</t>
  </si>
  <si>
    <t>Normalverteilung - Statistische Daten</t>
  </si>
  <si>
    <t>Mittelwert</t>
  </si>
  <si>
    <t>Log-Normalverteilung - Statistische Daten</t>
  </si>
  <si>
    <t>Standardabweichung</t>
  </si>
  <si>
    <t>95%-Quantil (oben/unten)</t>
  </si>
  <si>
    <t>98%-Quantil (oben/unten)</t>
  </si>
  <si>
    <t>Einstellungen Histogramm</t>
  </si>
  <si>
    <t>Wert</t>
  </si>
  <si>
    <t>Histogramm und Verteilungsfunktionen</t>
  </si>
  <si>
    <t>Vorschlag AS</t>
  </si>
  <si>
    <t>Trendarbeitsblatt 1</t>
  </si>
  <si>
    <t>Korrelationskoeffizient</t>
  </si>
  <si>
    <t>Ordinatendurchgang</t>
  </si>
  <si>
    <t>95%-Quantil</t>
  </si>
  <si>
    <t>98%-Quantil</t>
  </si>
  <si>
    <t>Anfang / Ende</t>
  </si>
  <si>
    <t>Fließweg An- zu Abstrom</t>
  </si>
  <si>
    <t>Fließzeit in Tagen</t>
  </si>
  <si>
    <t>Auslöseschwelle mit Trendberücksichtigung</t>
  </si>
  <si>
    <t>Trenddarstellung</t>
  </si>
  <si>
    <t>Schiefekoeffizient 1/6</t>
  </si>
  <si>
    <t>-</t>
  </si>
  <si>
    <t>Q95 No o</t>
  </si>
  <si>
    <t>Q95 No u</t>
  </si>
  <si>
    <t>Q98 No o</t>
  </si>
  <si>
    <t>Q98 No u</t>
  </si>
  <si>
    <t xml:space="preserve">95%-Quantil </t>
  </si>
  <si>
    <t>Deponie:</t>
  </si>
  <si>
    <t>mg/</t>
  </si>
  <si>
    <t>Deponie</t>
  </si>
  <si>
    <t>Messstelle</t>
  </si>
  <si>
    <t>Einheit</t>
  </si>
  <si>
    <t>Stabw</t>
  </si>
  <si>
    <t>Norm95</t>
  </si>
  <si>
    <t>Norm98</t>
  </si>
  <si>
    <t>Norm01</t>
  </si>
  <si>
    <t>Norm025</t>
  </si>
  <si>
    <t>Q95o</t>
  </si>
  <si>
    <t>Q98o</t>
  </si>
  <si>
    <t>Q95Logo</t>
  </si>
  <si>
    <t>Q98u</t>
  </si>
  <si>
    <t>Q98uLog</t>
  </si>
  <si>
    <t>Q95 Lo o</t>
  </si>
  <si>
    <t>Q98 Lo o</t>
  </si>
  <si>
    <t>Arbeitsblatt pH-Wert</t>
  </si>
  <si>
    <t>Hier Zeitreihe eintragen</t>
  </si>
  <si>
    <t>Arbeitsblatt elektrische Leitfähigkeit</t>
  </si>
  <si>
    <t>Arbeitsblatt Natrium</t>
  </si>
  <si>
    <t>Arbeitsblatt Kalium</t>
  </si>
  <si>
    <t>Arbeitsblatt Magnesium</t>
  </si>
  <si>
    <t>mS/m / μS/cm</t>
  </si>
  <si>
    <t>Arbeitsblatt Nitrat-N</t>
  </si>
  <si>
    <t>Arbeitsblatt Ammonium-N</t>
  </si>
  <si>
    <t>Arbeitsblatt Calcium</t>
  </si>
  <si>
    <t>Arbeitsblatt Sulfat</t>
  </si>
  <si>
    <t>Arbeitsblatt Stickstoff gesamt</t>
  </si>
  <si>
    <t>Arbeitsblatt TOC</t>
  </si>
  <si>
    <t>Arbeitsblatt Fluorid</t>
  </si>
  <si>
    <t>Arbeitsblatt Cyanid, leicht freisetzbar</t>
  </si>
  <si>
    <t>Arbeitsblatt Bor</t>
  </si>
  <si>
    <t>Arbeitsblatt Cyanid</t>
  </si>
  <si>
    <t>μg/l</t>
  </si>
  <si>
    <t>Arbeitsblatt Kohlenwasserstoffe</t>
  </si>
  <si>
    <t>Arbeitsblatt PAK</t>
  </si>
  <si>
    <t>Arbeitsblatt AOX</t>
  </si>
  <si>
    <t>Arbeitsblatt Arsen</t>
  </si>
  <si>
    <t>Arbeitsblatt Blei</t>
  </si>
  <si>
    <t>Arbeitsblatt Cadmium</t>
  </si>
  <si>
    <t>Arbeitsblatt Chrom gesamt</t>
  </si>
  <si>
    <t>Arbeitsblatt Kupfer</t>
  </si>
  <si>
    <t>Arbeitsblatt Molybdän</t>
  </si>
  <si>
    <t>Arbeitsblatt Nickel</t>
  </si>
  <si>
    <t>Arbeitsblatt Quecksilber</t>
  </si>
  <si>
    <t>Arbeitsblatt Zink</t>
  </si>
  <si>
    <t xml:space="preserve">Arbeitsblatt: </t>
  </si>
  <si>
    <t>WG9999</t>
  </si>
  <si>
    <t>Deponie Gruselsumpf</t>
  </si>
  <si>
    <t>Parameter</t>
  </si>
  <si>
    <t>Trendarbeitsblatt 2</t>
  </si>
  <si>
    <t>Trendarbeitsblatt 3</t>
  </si>
  <si>
    <t>Trendarbeitsblatt 4</t>
  </si>
  <si>
    <t>Arbeitsblatt: Barium</t>
  </si>
  <si>
    <t>Arbeitsblatt Chlorid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</si>
</sst>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"/>
    <numFmt numFmtId="165" formatCode="0.0"/>
    <numFmt numFmtId="166" formatCode="0.000"/>
    <numFmt numFmtId="167" formatCode="d/m/yyyy;@"/>
    <numFmt numFmtId="168" formatCode="0.000000"/>
  </numFmts>
  <fonts count="34" x14ac:knownFonts="1">
    <font>
      <sz val="10"/>
      <name val="Arial"/>
    </font>
    <font>
      <sz val="8"/>
      <name val="Arial"/>
    </font>
    <font>
      <sz val="10"/>
      <color indexed="8"/>
      <name val="Arial"/>
    </font>
    <font>
      <i/>
      <sz val="10"/>
      <name val="Arial"/>
    </font>
    <font>
      <b/>
      <sz val="10"/>
      <name val="Arial"/>
      <family val="2"/>
    </font>
    <font>
      <sz val="10"/>
      <name val="Arial"/>
      <family val="2"/>
    </font>
    <font>
      <i/>
      <sz val="10"/>
      <color indexed="60"/>
      <name val="Arial"/>
    </font>
    <font>
      <i/>
      <sz val="10"/>
      <color indexed="60"/>
      <name val="Arial"/>
      <family val="2"/>
    </font>
    <font>
      <i/>
      <sz val="10"/>
      <color indexed="16"/>
      <name val="Arial"/>
      <family val="2"/>
    </font>
    <font>
      <sz val="10"/>
      <color indexed="23"/>
      <name val="Arial"/>
      <family val="2"/>
    </font>
    <font>
      <i/>
      <sz val="10"/>
      <color indexed="18"/>
      <name val="Arial"/>
      <family val="2"/>
    </font>
    <font>
      <b/>
      <sz val="12"/>
      <name val="Arial"/>
    </font>
    <font>
      <b/>
      <sz val="12"/>
      <name val="Arial"/>
      <family val="2"/>
    </font>
    <font>
      <i/>
      <sz val="9"/>
      <color indexed="16"/>
      <name val="Arial"/>
      <family val="2"/>
    </font>
    <font>
      <sz val="12"/>
      <name val="Arial"/>
    </font>
    <font>
      <sz val="12"/>
      <color indexed="9"/>
      <name val="Arial"/>
    </font>
    <font>
      <sz val="12"/>
      <color indexed="9"/>
      <name val="Arial"/>
      <family val="2"/>
    </font>
    <font>
      <sz val="12"/>
      <name val="Arial"/>
      <family val="2"/>
    </font>
    <font>
      <i/>
      <sz val="12"/>
      <color indexed="18"/>
      <name val="Arial"/>
    </font>
    <font>
      <sz val="12"/>
      <color indexed="8"/>
      <name val="Arial"/>
      <family val="2"/>
    </font>
    <font>
      <sz val="11"/>
      <color indexed="22"/>
      <name val="Times New Roman"/>
      <family val="1"/>
    </font>
    <font>
      <sz val="12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16"/>
      <name val="Arial"/>
      <family val="2"/>
    </font>
    <font>
      <sz val="12"/>
      <color theme="0" tint="-0.34998626667073579"/>
      <name val="Arial"/>
      <family val="2"/>
    </font>
    <font>
      <b/>
      <sz val="10"/>
      <color theme="0" tint="-0.499984740745262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0" tint="-0.499984740745262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i/>
      <sz val="12"/>
      <color theme="3" tint="0.59999389629810485"/>
      <name val="Arial"/>
      <family val="2"/>
    </font>
    <font>
      <b/>
      <sz val="12"/>
      <color theme="3" tint="0.3999755851924192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2" fillId="0" borderId="0"/>
    <xf numFmtId="0" fontId="5" fillId="0" borderId="0" applyNumberFormat="0" applyFont="0" applyFill="0" applyBorder="0" applyAlignment="0" applyProtection="0"/>
  </cellStyleXfs>
  <cellXfs count="169">
    <xf numFmtId="0" fontId="0" fillId="0" borderId="0" xfId="0"/>
    <xf numFmtId="0" fontId="0" fillId="0" borderId="0" xfId="0" applyProtection="1"/>
    <xf numFmtId="0" fontId="4" fillId="2" borderId="0" xfId="0" applyFont="1" applyFill="1" applyAlignment="1" applyProtection="1"/>
    <xf numFmtId="0" fontId="0" fillId="0" borderId="1" xfId="0" applyBorder="1" applyProtection="1"/>
    <xf numFmtId="0" fontId="14" fillId="0" borderId="0" xfId="0" applyFont="1" applyProtection="1"/>
    <xf numFmtId="0" fontId="4" fillId="0" borderId="0" xfId="0" applyFont="1" applyProtection="1"/>
    <xf numFmtId="0" fontId="8" fillId="0" borderId="0" xfId="0" applyFont="1" applyProtection="1"/>
    <xf numFmtId="166" fontId="9" fillId="0" borderId="0" xfId="0" applyNumberFormat="1" applyFont="1" applyFill="1" applyBorder="1" applyProtection="1"/>
    <xf numFmtId="0" fontId="20" fillId="0" borderId="0" xfId="0" applyFont="1" applyAlignment="1" applyProtection="1"/>
    <xf numFmtId="0" fontId="18" fillId="0" borderId="0" xfId="0" applyFont="1" applyProtection="1"/>
    <xf numFmtId="0" fontId="12" fillId="2" borderId="0" xfId="0" applyFont="1" applyFill="1" applyProtection="1"/>
    <xf numFmtId="0" fontId="0" fillId="0" borderId="0" xfId="0" applyBorder="1" applyProtection="1"/>
    <xf numFmtId="0" fontId="6" fillId="0" borderId="0" xfId="0" applyFont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0" fontId="5" fillId="0" borderId="0" xfId="0" applyFont="1"/>
    <xf numFmtId="0" fontId="0" fillId="3" borderId="0" xfId="0" applyFill="1" applyProtection="1"/>
    <xf numFmtId="0" fontId="0" fillId="4" borderId="0" xfId="0" applyFill="1" applyProtection="1"/>
    <xf numFmtId="0" fontId="21" fillId="3" borderId="0" xfId="0" applyFont="1" applyFill="1" applyBorder="1" applyAlignment="1" applyProtection="1">
      <alignment horizontal="right"/>
    </xf>
    <xf numFmtId="166" fontId="21" fillId="3" borderId="0" xfId="0" applyNumberFormat="1" applyFont="1" applyFill="1" applyBorder="1" applyAlignment="1" applyProtection="1">
      <alignment horizontal="right"/>
    </xf>
    <xf numFmtId="168" fontId="21" fillId="3" borderId="0" xfId="0" applyNumberFormat="1" applyFont="1" applyFill="1" applyBorder="1" applyAlignment="1" applyProtection="1">
      <alignment horizontal="right"/>
    </xf>
    <xf numFmtId="164" fontId="21" fillId="3" borderId="0" xfId="0" applyNumberFormat="1" applyFont="1" applyFill="1" applyBorder="1" applyAlignment="1" applyProtection="1">
      <alignment horizontal="right"/>
    </xf>
    <xf numFmtId="9" fontId="21" fillId="3" borderId="0" xfId="0" applyNumberFormat="1" applyFont="1" applyFill="1" applyBorder="1" applyAlignment="1" applyProtection="1">
      <alignment horizontal="right"/>
    </xf>
    <xf numFmtId="14" fontId="21" fillId="3" borderId="0" xfId="0" applyNumberFormat="1" applyFont="1" applyFill="1" applyBorder="1" applyProtection="1"/>
    <xf numFmtId="0" fontId="0" fillId="4" borderId="0" xfId="0" applyFill="1" applyBorder="1" applyProtection="1"/>
    <xf numFmtId="0" fontId="4" fillId="4" borderId="0" xfId="0" applyFont="1" applyFill="1" applyBorder="1" applyAlignment="1" applyProtection="1">
      <alignment horizontal="center"/>
    </xf>
    <xf numFmtId="164" fontId="22" fillId="3" borderId="0" xfId="0" applyNumberFormat="1" applyFont="1" applyFill="1" applyBorder="1" applyProtection="1"/>
    <xf numFmtId="0" fontId="17" fillId="7" borderId="1" xfId="0" applyFont="1" applyFill="1" applyBorder="1" applyAlignment="1" applyProtection="1">
      <alignment horizontal="right" vertical="top"/>
      <protection locked="0"/>
    </xf>
    <xf numFmtId="1" fontId="14" fillId="7" borderId="1" xfId="0" applyNumberFormat="1" applyFont="1" applyFill="1" applyBorder="1" applyProtection="1">
      <protection locked="0"/>
    </xf>
    <xf numFmtId="14" fontId="14" fillId="7" borderId="1" xfId="0" applyNumberFormat="1" applyFont="1" applyFill="1" applyBorder="1" applyProtection="1">
      <protection locked="0"/>
    </xf>
    <xf numFmtId="167" fontId="2" fillId="7" borderId="1" xfId="1" applyNumberFormat="1" applyFont="1" applyFill="1" applyBorder="1" applyAlignment="1" applyProtection="1">
      <alignment horizontal="right" wrapText="1"/>
      <protection locked="0"/>
    </xf>
    <xf numFmtId="2" fontId="2" fillId="7" borderId="1" xfId="1" applyNumberFormat="1" applyFont="1" applyFill="1" applyBorder="1" applyAlignment="1" applyProtection="1">
      <alignment horizontal="right" wrapText="1"/>
      <protection locked="0"/>
    </xf>
    <xf numFmtId="2" fontId="14" fillId="7" borderId="1" xfId="0" applyNumberFormat="1" applyFont="1" applyFill="1" applyBorder="1" applyProtection="1">
      <protection locked="0"/>
    </xf>
    <xf numFmtId="0" fontId="4" fillId="4" borderId="0" xfId="0" applyFont="1" applyFill="1" applyProtection="1"/>
    <xf numFmtId="0" fontId="7" fillId="4" borderId="0" xfId="0" applyFont="1" applyFill="1" applyProtection="1"/>
    <xf numFmtId="0" fontId="8" fillId="4" borderId="0" xfId="0" applyFont="1" applyFill="1" applyProtection="1"/>
    <xf numFmtId="0" fontId="13" fillId="4" borderId="0" xfId="0" applyFont="1" applyFill="1" applyProtection="1"/>
    <xf numFmtId="0" fontId="0" fillId="4" borderId="0" xfId="0" applyNumberFormat="1" applyFill="1" applyBorder="1" applyAlignment="1" applyProtection="1">
      <alignment horizontal="center"/>
    </xf>
    <xf numFmtId="164" fontId="0" fillId="4" borderId="0" xfId="0" applyNumberFormat="1" applyFill="1" applyBorder="1" applyProtection="1"/>
    <xf numFmtId="0" fontId="3" fillId="4" borderId="0" xfId="0" applyFont="1" applyFill="1" applyBorder="1" applyAlignment="1" applyProtection="1">
      <alignment horizontal="center"/>
    </xf>
    <xf numFmtId="0" fontId="0" fillId="4" borderId="0" xfId="0" applyNumberFormat="1" applyFill="1" applyBorder="1" applyAlignment="1" applyProtection="1"/>
    <xf numFmtId="0" fontId="0" fillId="4" borderId="0" xfId="0" applyFill="1" applyBorder="1" applyAlignment="1" applyProtection="1"/>
    <xf numFmtId="0" fontId="0" fillId="4" borderId="0" xfId="0" applyFill="1" applyProtection="1">
      <protection hidden="1"/>
    </xf>
    <xf numFmtId="0" fontId="0" fillId="4" borderId="0" xfId="0" applyFill="1" applyBorder="1" applyAlignment="1" applyProtection="1">
      <alignment horizontal="center"/>
    </xf>
    <xf numFmtId="0" fontId="10" fillId="4" borderId="0" xfId="0" applyFont="1" applyFill="1" applyBorder="1" applyAlignment="1" applyProtection="1">
      <alignment horizontal="center"/>
    </xf>
    <xf numFmtId="0" fontId="5" fillId="4" borderId="0" xfId="0" applyFont="1" applyFill="1" applyProtection="1"/>
    <xf numFmtId="167" fontId="2" fillId="7" borderId="2" xfId="1" applyNumberFormat="1" applyFont="1" applyFill="1" applyBorder="1" applyAlignment="1" applyProtection="1">
      <alignment horizontal="right" wrapText="1"/>
      <protection locked="0"/>
    </xf>
    <xf numFmtId="2" fontId="2" fillId="7" borderId="2" xfId="1" applyNumberFormat="1" applyFont="1" applyFill="1" applyBorder="1" applyAlignment="1" applyProtection="1">
      <alignment horizontal="right" wrapText="1"/>
      <protection locked="0"/>
    </xf>
    <xf numFmtId="0" fontId="0" fillId="3" borderId="0" xfId="0" applyFill="1" applyBorder="1" applyProtection="1"/>
    <xf numFmtId="0" fontId="7" fillId="3" borderId="0" xfId="0" applyFont="1" applyFill="1" applyBorder="1" applyProtection="1"/>
    <xf numFmtId="166" fontId="17" fillId="7" borderId="1" xfId="0" applyNumberFormat="1" applyFont="1" applyFill="1" applyBorder="1" applyAlignment="1" applyProtection="1">
      <alignment horizontal="right"/>
      <protection locked="0"/>
    </xf>
    <xf numFmtId="166" fontId="21" fillId="0" borderId="0" xfId="0" applyNumberFormat="1" applyFont="1" applyFill="1" applyBorder="1" applyAlignment="1" applyProtection="1">
      <alignment horizontal="right"/>
    </xf>
    <xf numFmtId="0" fontId="17" fillId="0" borderId="0" xfId="0" applyNumberFormat="1" applyFont="1" applyFill="1" applyBorder="1" applyProtection="1"/>
    <xf numFmtId="0" fontId="17" fillId="6" borderId="0" xfId="0" applyFont="1" applyFill="1" applyBorder="1" applyProtection="1"/>
    <xf numFmtId="167" fontId="19" fillId="7" borderId="1" xfId="1" applyNumberFormat="1" applyFont="1" applyFill="1" applyBorder="1" applyAlignment="1" applyProtection="1">
      <alignment horizontal="right" wrapText="1"/>
      <protection locked="0"/>
    </xf>
    <xf numFmtId="0" fontId="19" fillId="7" borderId="1" xfId="1" applyFont="1" applyFill="1" applyBorder="1" applyAlignment="1" applyProtection="1">
      <alignment horizontal="right" wrapText="1"/>
      <protection locked="0"/>
    </xf>
    <xf numFmtId="0" fontId="21" fillId="0" borderId="0" xfId="0" applyNumberFormat="1" applyFont="1" applyFill="1" applyBorder="1" applyProtection="1"/>
    <xf numFmtId="0" fontId="21" fillId="3" borderId="0" xfId="0" applyFont="1" applyFill="1" applyBorder="1" applyProtection="1"/>
    <xf numFmtId="0" fontId="14" fillId="3" borderId="0" xfId="0" applyFont="1" applyFill="1" applyBorder="1" applyProtection="1"/>
    <xf numFmtId="2" fontId="21" fillId="3" borderId="0" xfId="0" applyNumberFormat="1" applyFont="1" applyFill="1" applyBorder="1" applyProtection="1"/>
    <xf numFmtId="2" fontId="21" fillId="3" borderId="0" xfId="0" applyNumberFormat="1" applyFont="1" applyFill="1" applyBorder="1" applyAlignment="1" applyProtection="1">
      <alignment horizontal="right"/>
    </xf>
    <xf numFmtId="165" fontId="21" fillId="3" borderId="0" xfId="0" applyNumberFormat="1" applyFont="1" applyFill="1" applyBorder="1" applyAlignment="1" applyProtection="1">
      <alignment horizontal="right"/>
    </xf>
    <xf numFmtId="0" fontId="11" fillId="3" borderId="0" xfId="0" applyFont="1" applyFill="1" applyBorder="1" applyAlignment="1" applyProtection="1">
      <alignment horizontal="center"/>
    </xf>
    <xf numFmtId="0" fontId="15" fillId="6" borderId="7" xfId="0" applyFont="1" applyFill="1" applyBorder="1" applyProtection="1"/>
    <xf numFmtId="0" fontId="22" fillId="8" borderId="1" xfId="0" applyFont="1" applyFill="1" applyBorder="1" applyProtection="1"/>
    <xf numFmtId="14" fontId="22" fillId="8" borderId="1" xfId="0" applyNumberFormat="1" applyFont="1" applyFill="1" applyBorder="1" applyProtection="1"/>
    <xf numFmtId="0" fontId="12" fillId="2" borderId="0" xfId="0" applyFont="1" applyFill="1" applyBorder="1" applyProtection="1"/>
    <xf numFmtId="0" fontId="22" fillId="8" borderId="0" xfId="0" applyFont="1" applyFill="1" applyBorder="1" applyProtection="1"/>
    <xf numFmtId="14" fontId="22" fillId="8" borderId="0" xfId="0" applyNumberFormat="1" applyFont="1" applyFill="1" applyBorder="1" applyProtection="1"/>
    <xf numFmtId="0" fontId="0" fillId="0" borderId="0" xfId="0" applyBorder="1" applyProtection="1">
      <protection hidden="1"/>
    </xf>
    <xf numFmtId="0" fontId="22" fillId="8" borderId="0" xfId="0" applyFont="1" applyFill="1" applyBorder="1" applyProtection="1">
      <protection hidden="1"/>
    </xf>
    <xf numFmtId="0" fontId="22" fillId="3" borderId="0" xfId="0" applyFont="1" applyFill="1" applyBorder="1" applyProtection="1">
      <protection hidden="1"/>
    </xf>
    <xf numFmtId="166" fontId="0" fillId="3" borderId="0" xfId="0" applyNumberFormat="1" applyFill="1" applyBorder="1" applyProtection="1"/>
    <xf numFmtId="0" fontId="24" fillId="3" borderId="0" xfId="0" applyFont="1" applyFill="1" applyProtection="1"/>
    <xf numFmtId="0" fontId="22" fillId="3" borderId="1" xfId="0" applyFont="1" applyFill="1" applyBorder="1" applyProtection="1"/>
    <xf numFmtId="165" fontId="22" fillId="3" borderId="0" xfId="0" applyNumberFormat="1" applyFont="1" applyFill="1" applyBorder="1" applyAlignment="1" applyProtection="1">
      <alignment horizontal="right"/>
    </xf>
    <xf numFmtId="0" fontId="22" fillId="3" borderId="0" xfId="0" applyNumberFormat="1" applyFont="1" applyFill="1" applyBorder="1" applyAlignment="1" applyProtection="1"/>
    <xf numFmtId="0" fontId="22" fillId="3" borderId="0" xfId="0" applyFont="1" applyFill="1" applyBorder="1" applyProtection="1"/>
    <xf numFmtId="164" fontId="22" fillId="3" borderId="0" xfId="0" applyNumberFormat="1" applyFont="1" applyFill="1" applyBorder="1" applyAlignment="1" applyProtection="1"/>
    <xf numFmtId="166" fontId="22" fillId="3" borderId="1" xfId="0" applyNumberFormat="1" applyFont="1" applyFill="1" applyBorder="1" applyProtection="1"/>
    <xf numFmtId="166" fontId="22" fillId="3" borderId="0" xfId="0" applyNumberFormat="1" applyFont="1" applyFill="1" applyBorder="1" applyProtection="1"/>
    <xf numFmtId="0" fontId="25" fillId="2" borderId="0" xfId="0" applyFont="1" applyFill="1" applyAlignment="1" applyProtection="1"/>
    <xf numFmtId="1" fontId="22" fillId="3" borderId="0" xfId="0" applyNumberFormat="1" applyFont="1" applyFill="1" applyBorder="1" applyAlignment="1" applyProtection="1"/>
    <xf numFmtId="165" fontId="22" fillId="3" borderId="0" xfId="0" applyNumberFormat="1" applyFont="1" applyFill="1" applyBorder="1" applyProtection="1"/>
    <xf numFmtId="0" fontId="15" fillId="6" borderId="9" xfId="0" applyFont="1" applyFill="1" applyBorder="1" applyProtection="1"/>
    <xf numFmtId="0" fontId="25" fillId="3" borderId="1" xfId="0" applyFont="1" applyFill="1" applyBorder="1" applyProtection="1"/>
    <xf numFmtId="0" fontId="22" fillId="0" borderId="0" xfId="0" applyFont="1" applyProtection="1"/>
    <xf numFmtId="167" fontId="22" fillId="3" borderId="1" xfId="0" applyNumberFormat="1" applyFont="1" applyFill="1" applyBorder="1" applyProtection="1"/>
    <xf numFmtId="0" fontId="25" fillId="3" borderId="0" xfId="0" applyFont="1" applyFill="1" applyBorder="1" applyProtection="1"/>
    <xf numFmtId="0" fontId="22" fillId="0" borderId="0" xfId="0" applyFont="1" applyBorder="1" applyProtection="1"/>
    <xf numFmtId="167" fontId="22" fillId="3" borderId="0" xfId="0" applyNumberFormat="1" applyFont="1" applyFill="1" applyBorder="1" applyProtection="1"/>
    <xf numFmtId="2" fontId="26" fillId="7" borderId="1" xfId="0" applyNumberFormat="1" applyFont="1" applyFill="1" applyBorder="1" applyAlignment="1" applyProtection="1">
      <alignment horizontal="right"/>
    </xf>
    <xf numFmtId="0" fontId="12" fillId="0" borderId="0" xfId="0" applyFont="1" applyProtection="1"/>
    <xf numFmtId="0" fontId="17" fillId="3" borderId="0" xfId="0" applyFont="1" applyFill="1" applyBorder="1" applyAlignment="1" applyProtection="1">
      <alignment horizontal="right"/>
    </xf>
    <xf numFmtId="2" fontId="31" fillId="10" borderId="0" xfId="0" applyNumberFormat="1" applyFont="1" applyFill="1" applyBorder="1" applyAlignment="1" applyProtection="1">
      <alignment horizontal="right"/>
    </xf>
    <xf numFmtId="0" fontId="15" fillId="6" borderId="11" xfId="0" applyFont="1" applyFill="1" applyBorder="1" applyAlignment="1" applyProtection="1">
      <alignment horizontal="left" vertical="center"/>
    </xf>
    <xf numFmtId="0" fontId="15" fillId="6" borderId="12" xfId="0" applyFont="1" applyFill="1" applyBorder="1" applyAlignment="1" applyProtection="1">
      <alignment horizontal="left" vertical="center"/>
    </xf>
    <xf numFmtId="0" fontId="15" fillId="6" borderId="10" xfId="0" applyFont="1" applyFill="1" applyBorder="1" applyAlignment="1" applyProtection="1">
      <alignment horizontal="left" vertical="center"/>
    </xf>
    <xf numFmtId="0" fontId="15" fillId="6" borderId="13" xfId="0" applyFont="1" applyFill="1" applyBorder="1" applyAlignment="1" applyProtection="1">
      <alignment horizontal="left" vertical="center"/>
    </xf>
    <xf numFmtId="0" fontId="15" fillId="6" borderId="12" xfId="0" applyFont="1" applyFill="1" applyBorder="1" applyProtection="1"/>
    <xf numFmtId="0" fontId="15" fillId="6" borderId="11" xfId="0" applyFont="1" applyFill="1" applyBorder="1" applyProtection="1"/>
    <xf numFmtId="0" fontId="15" fillId="6" borderId="10" xfId="0" applyFont="1" applyFill="1" applyBorder="1" applyProtection="1"/>
    <xf numFmtId="0" fontId="15" fillId="6" borderId="13" xfId="0" applyFont="1" applyFill="1" applyBorder="1" applyProtection="1"/>
    <xf numFmtId="0" fontId="15" fillId="6" borderId="14" xfId="0" applyFont="1" applyFill="1" applyBorder="1" applyAlignment="1" applyProtection="1">
      <alignment horizontal="left" vertical="center"/>
    </xf>
    <xf numFmtId="0" fontId="15" fillId="6" borderId="14" xfId="0" applyFont="1" applyFill="1" applyBorder="1" applyProtection="1"/>
    <xf numFmtId="0" fontId="16" fillId="6" borderId="14" xfId="0" applyFont="1" applyFill="1" applyBorder="1" applyAlignment="1" applyProtection="1">
      <alignment horizontal="left" vertical="center"/>
    </xf>
    <xf numFmtId="0" fontId="15" fillId="6" borderId="16" xfId="0" applyFont="1" applyFill="1" applyBorder="1" applyProtection="1"/>
    <xf numFmtId="0" fontId="15" fillId="6" borderId="17" xfId="0" applyFont="1" applyFill="1" applyBorder="1" applyProtection="1"/>
    <xf numFmtId="0" fontId="15" fillId="6" borderId="18" xfId="0" applyFont="1" applyFill="1" applyBorder="1" applyProtection="1"/>
    <xf numFmtId="0" fontId="15" fillId="6" borderId="15" xfId="0" applyFont="1" applyFill="1" applyBorder="1" applyProtection="1"/>
    <xf numFmtId="0" fontId="30" fillId="10" borderId="13" xfId="0" applyFont="1" applyFill="1" applyBorder="1" applyProtection="1"/>
    <xf numFmtId="2" fontId="31" fillId="10" borderId="20" xfId="0" applyNumberFormat="1" applyFont="1" applyFill="1" applyBorder="1" applyAlignment="1" applyProtection="1">
      <alignment horizontal="right"/>
    </xf>
    <xf numFmtId="0" fontId="32" fillId="3" borderId="0" xfId="0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0" fontId="33" fillId="3" borderId="0" xfId="0" applyFont="1" applyFill="1" applyBorder="1" applyAlignment="1" applyProtection="1">
      <alignment horizontal="right"/>
    </xf>
    <xf numFmtId="0" fontId="31" fillId="10" borderId="0" xfId="0" applyFont="1" applyFill="1" applyBorder="1" applyAlignment="1" applyProtection="1">
      <alignment horizontal="left" vertical="center"/>
    </xf>
    <xf numFmtId="0" fontId="30" fillId="6" borderId="7" xfId="0" applyFont="1" applyFill="1" applyBorder="1" applyAlignment="1" applyProtection="1">
      <alignment horizontal="left" vertical="center"/>
    </xf>
    <xf numFmtId="0" fontId="30" fillId="6" borderId="0" xfId="0" applyFont="1" applyFill="1" applyBorder="1" applyAlignment="1" applyProtection="1">
      <alignment horizontal="left" vertical="center"/>
    </xf>
    <xf numFmtId="0" fontId="12" fillId="4" borderId="0" xfId="0" applyFont="1" applyFill="1" applyProtection="1"/>
    <xf numFmtId="0" fontId="17" fillId="8" borderId="8" xfId="0" applyFont="1" applyFill="1" applyBorder="1" applyAlignment="1" applyProtection="1">
      <alignment horizontal="left" vertical="center"/>
    </xf>
    <xf numFmtId="0" fontId="22" fillId="8" borderId="7" xfId="0" applyFont="1" applyFill="1" applyBorder="1" applyProtection="1"/>
    <xf numFmtId="0" fontId="25" fillId="0" borderId="0" xfId="0" applyFont="1" applyProtection="1"/>
    <xf numFmtId="14" fontId="22" fillId="3" borderId="1" xfId="0" applyNumberFormat="1" applyFont="1" applyFill="1" applyBorder="1" applyProtection="1">
      <protection hidden="1"/>
    </xf>
    <xf numFmtId="164" fontId="22" fillId="3" borderId="1" xfId="0" applyNumberFormat="1" applyFont="1" applyFill="1" applyBorder="1" applyProtection="1">
      <protection hidden="1"/>
    </xf>
    <xf numFmtId="14" fontId="22" fillId="3" borderId="1" xfId="0" applyNumberFormat="1" applyFont="1" applyFill="1" applyBorder="1" applyProtection="1"/>
    <xf numFmtId="164" fontId="22" fillId="0" borderId="0" xfId="0" applyNumberFormat="1" applyFont="1" applyFill="1" applyBorder="1" applyProtection="1"/>
    <xf numFmtId="1" fontId="22" fillId="3" borderId="1" xfId="0" applyNumberFormat="1" applyFont="1" applyFill="1" applyBorder="1" applyProtection="1"/>
    <xf numFmtId="0" fontId="22" fillId="0" borderId="0" xfId="0" applyNumberFormat="1" applyFont="1" applyFill="1" applyBorder="1" applyAlignment="1" applyProtection="1">
      <alignment horizontal="center"/>
    </xf>
    <xf numFmtId="0" fontId="22" fillId="8" borderId="3" xfId="0" applyFont="1" applyFill="1" applyBorder="1" applyAlignment="1" applyProtection="1">
      <alignment horizontal="center"/>
    </xf>
    <xf numFmtId="0" fontId="30" fillId="6" borderId="9" xfId="0" applyFont="1" applyFill="1" applyBorder="1" applyAlignment="1" applyProtection="1">
      <alignment horizontal="left" vertical="center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0" fontId="17" fillId="7" borderId="1" xfId="0" applyFont="1" applyFill="1" applyBorder="1" applyAlignment="1" applyProtection="1">
      <alignment horizontal="right"/>
      <protection locked="0"/>
    </xf>
    <xf numFmtId="2" fontId="26" fillId="7" borderId="1" xfId="0" applyNumberFormat="1" applyFont="1" applyFill="1" applyBorder="1" applyAlignment="1" applyProtection="1">
      <alignment horizontal="right"/>
      <protection locked="0"/>
    </xf>
    <xf numFmtId="0" fontId="17" fillId="8" borderId="0" xfId="0" applyFont="1" applyFill="1" applyBorder="1" applyProtection="1"/>
    <xf numFmtId="0" fontId="4" fillId="8" borderId="0" xfId="0" applyFont="1" applyFill="1" applyAlignment="1" applyProtection="1"/>
    <xf numFmtId="0" fontId="5" fillId="8" borderId="3" xfId="0" applyFont="1" applyFill="1" applyBorder="1" applyProtection="1"/>
    <xf numFmtId="1" fontId="22" fillId="3" borderId="0" xfId="0" applyNumberFormat="1" applyFont="1" applyFill="1" applyBorder="1" applyProtection="1"/>
    <xf numFmtId="2" fontId="22" fillId="3" borderId="0" xfId="0" applyNumberFormat="1" applyFont="1" applyFill="1" applyBorder="1" applyProtection="1"/>
    <xf numFmtId="0" fontId="12" fillId="6" borderId="0" xfId="0" applyFont="1" applyFill="1" applyBorder="1" applyAlignment="1" applyProtection="1"/>
    <xf numFmtId="0" fontId="27" fillId="8" borderId="0" xfId="0" applyFont="1" applyFill="1" applyBorder="1" applyAlignment="1" applyProtection="1">
      <alignment horizontal="left" vertical="center"/>
    </xf>
    <xf numFmtId="0" fontId="28" fillId="8" borderId="0" xfId="0" applyFont="1" applyFill="1" applyBorder="1" applyAlignment="1" applyProtection="1"/>
    <xf numFmtId="0" fontId="28" fillId="8" borderId="5" xfId="0" applyFont="1" applyFill="1" applyBorder="1" applyAlignment="1" applyProtection="1"/>
    <xf numFmtId="0" fontId="12" fillId="4" borderId="0" xfId="0" applyFont="1" applyFill="1" applyAlignment="1" applyProtection="1"/>
    <xf numFmtId="49" fontId="12" fillId="7" borderId="6" xfId="0" applyNumberFormat="1" applyFont="1" applyFill="1" applyBorder="1" applyAlignment="1" applyProtection="1">
      <alignment horizontal="left" vertical="center"/>
      <protection locked="0"/>
    </xf>
    <xf numFmtId="0" fontId="5" fillId="7" borderId="4" xfId="0" applyFont="1" applyFill="1" applyBorder="1" applyAlignment="1" applyProtection="1">
      <alignment horizontal="left"/>
      <protection locked="0"/>
    </xf>
    <xf numFmtId="0" fontId="12" fillId="7" borderId="6" xfId="0" applyFont="1" applyFill="1" applyBorder="1" applyAlignment="1" applyProtection="1">
      <alignment horizontal="left" vertical="center"/>
      <protection locked="0"/>
    </xf>
    <xf numFmtId="0" fontId="12" fillId="7" borderId="4" xfId="0" applyFont="1" applyFill="1" applyBorder="1" applyAlignment="1" applyProtection="1">
      <alignment horizontal="left" vertical="center"/>
      <protection locked="0"/>
    </xf>
    <xf numFmtId="0" fontId="23" fillId="8" borderId="0" xfId="0" applyFont="1" applyFill="1" applyBorder="1" applyAlignment="1" applyProtection="1">
      <alignment horizontal="left" vertical="center"/>
    </xf>
    <xf numFmtId="0" fontId="4" fillId="8" borderId="0" xfId="0" applyFont="1" applyFill="1" applyBorder="1" applyAlignment="1" applyProtection="1"/>
    <xf numFmtId="0" fontId="4" fillId="8" borderId="5" xfId="0" applyFont="1" applyFill="1" applyBorder="1" applyAlignment="1" applyProtection="1"/>
    <xf numFmtId="49" fontId="29" fillId="3" borderId="0" xfId="0" applyNumberFormat="1" applyFont="1" applyFill="1" applyBorder="1" applyAlignment="1" applyProtection="1">
      <alignment horizontal="left" vertical="center"/>
    </xf>
    <xf numFmtId="0" fontId="29" fillId="3" borderId="0" xfId="0" applyFont="1" applyFill="1" applyBorder="1" applyAlignment="1" applyProtection="1">
      <alignment horizontal="left" vertical="center"/>
    </xf>
    <xf numFmtId="0" fontId="23" fillId="9" borderId="0" xfId="0" applyFont="1" applyFill="1" applyBorder="1" applyAlignment="1" applyProtection="1">
      <alignment horizontal="left" vertical="center"/>
    </xf>
    <xf numFmtId="0" fontId="4" fillId="9" borderId="0" xfId="0" applyFont="1" applyFill="1" applyBorder="1" applyAlignment="1" applyProtection="1"/>
    <xf numFmtId="0" fontId="4" fillId="9" borderId="5" xfId="0" applyFont="1" applyFill="1" applyBorder="1" applyAlignment="1" applyProtection="1"/>
    <xf numFmtId="0" fontId="12" fillId="6" borderId="19" xfId="0" applyFont="1" applyFill="1" applyBorder="1" applyAlignment="1" applyProtection="1"/>
    <xf numFmtId="0" fontId="29" fillId="3" borderId="0" xfId="0" applyFont="1" applyFill="1" applyBorder="1" applyAlignment="1" applyProtection="1">
      <alignment horizontal="left" vertical="center"/>
      <protection locked="0"/>
    </xf>
    <xf numFmtId="49" fontId="29" fillId="3" borderId="0" xfId="0" applyNumberFormat="1" applyFont="1" applyFill="1" applyBorder="1" applyAlignment="1" applyProtection="1">
      <alignment horizontal="left" vertical="center"/>
      <protection locked="0"/>
    </xf>
    <xf numFmtId="0" fontId="12" fillId="4" borderId="20" xfId="0" applyFont="1" applyFill="1" applyBorder="1" applyAlignment="1" applyProtection="1"/>
    <xf numFmtId="0" fontId="23" fillId="7" borderId="0" xfId="0" applyFont="1" applyFill="1" applyBorder="1" applyAlignment="1" applyProtection="1">
      <alignment horizontal="left" vertical="center"/>
      <protection locked="0"/>
    </xf>
    <xf numFmtId="0" fontId="4" fillId="7" borderId="0" xfId="0" applyFont="1" applyFill="1" applyBorder="1" applyAlignment="1" applyProtection="1">
      <protection locked="0"/>
    </xf>
    <xf numFmtId="0" fontId="4" fillId="7" borderId="5" xfId="0" applyFont="1" applyFill="1" applyBorder="1" applyAlignment="1" applyProtection="1">
      <protection locked="0"/>
    </xf>
    <xf numFmtId="0" fontId="12" fillId="5" borderId="0" xfId="0" applyFont="1" applyFill="1" applyBorder="1" applyAlignment="1" applyProtection="1"/>
    <xf numFmtId="0" fontId="23" fillId="7" borderId="1" xfId="0" applyFont="1" applyFill="1" applyBorder="1" applyAlignment="1" applyProtection="1">
      <alignment horizontal="left" vertical="center"/>
      <protection locked="0"/>
    </xf>
    <xf numFmtId="49" fontId="29" fillId="4" borderId="0" xfId="0" applyNumberFormat="1" applyFont="1" applyFill="1" applyBorder="1" applyAlignment="1" applyProtection="1">
      <alignment horizontal="left" vertical="center"/>
    </xf>
    <xf numFmtId="0" fontId="22" fillId="4" borderId="0" xfId="0" applyFont="1" applyFill="1" applyBorder="1" applyAlignment="1" applyProtection="1">
      <alignment horizontal="left"/>
    </xf>
    <xf numFmtId="0" fontId="29" fillId="4" borderId="0" xfId="0" applyFont="1" applyFill="1" applyBorder="1" applyAlignment="1" applyProtection="1">
      <alignment horizontal="left" vertical="center"/>
    </xf>
  </cellXfs>
  <cellStyles count="3">
    <cellStyle name="Standard" xfId="0" builtinId="0"/>
    <cellStyle name="Standard 2" xfId="2"/>
    <cellStyle name="Standard_Anstrom Sulfat" xfId="1"/>
  </cellStyles>
  <dxfs count="0"/>
  <tableStyles count="0" defaultTableStyle="TableStyleMedium2" defaultPivotStyle="PivotStyleLight16"/>
  <colors>
    <mruColors>
      <color rgb="FFFFFFCC"/>
      <color rgb="FF0000FF"/>
      <color rgb="FFFFFF99"/>
      <color rgb="FFCC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89944134078212E-2"/>
          <c:y val="5.5555699083630651E-2"/>
          <c:w val="0.92458100558659218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pH!$F$63:$F$113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pH!$G$63:$G$113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7F-4143-9F47-4273432BFC2C}"/>
            </c:ext>
          </c:extLst>
        </c:ser>
        <c:ser>
          <c:idx val="2"/>
          <c:order val="1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pH!$T$46:$T$97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xVal>
          <c:yVal>
            <c:numRef>
              <c:f>pH!$U$46:$U$97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7F-4143-9F47-4273432BFC2C}"/>
            </c:ext>
          </c:extLst>
        </c:ser>
        <c:ser>
          <c:idx val="3"/>
          <c:order val="2"/>
          <c:tx>
            <c:v>Q95o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pH!$U$3:$V$3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7F-4143-9F47-4273432BFC2C}"/>
            </c:ext>
          </c:extLst>
        </c:ser>
        <c:ser>
          <c:idx val="5"/>
          <c:order val="3"/>
          <c:tx>
            <c:v>Q98o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pH!$U$5:$V$5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7F-4143-9F47-4273432BFC2C}"/>
            </c:ext>
          </c:extLst>
        </c:ser>
        <c:ser>
          <c:idx val="7"/>
          <c:order val="4"/>
          <c:tx>
            <c:v>Q95u Lo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pH!$U$8:$V$8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7F-4143-9F47-4273432BFC2C}"/>
            </c:ext>
          </c:extLst>
        </c:ser>
        <c:ser>
          <c:idx val="8"/>
          <c:order val="5"/>
          <c:tx>
            <c:v>Q98u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pH!$U$10:$V$10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7F-4143-9F47-4273432BFC2C}"/>
            </c:ext>
          </c:extLst>
        </c:ser>
        <c:ser>
          <c:idx val="9"/>
          <c:order val="6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pH!$P$9:$P$9</c:f>
              <c:numCache>
                <c:formatCode>General</c:formatCode>
                <c:ptCount val="1"/>
              </c:numCache>
            </c:numRef>
          </c:xVal>
          <c:yVal>
            <c:numRef>
              <c:f>pH!$P$2:$P$2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7F-4143-9F47-4273432BFC2C}"/>
            </c:ext>
          </c:extLst>
        </c:ser>
        <c:ser>
          <c:idx val="1"/>
          <c:order val="7"/>
          <c:tx>
            <c:v>Q95u</c:v>
          </c:tx>
          <c:spPr>
            <a:ln w="22225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pH!$U$7:$V$7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7F-4143-9F47-4273432BFC2C}"/>
            </c:ext>
          </c:extLst>
        </c:ser>
        <c:ser>
          <c:idx val="4"/>
          <c:order val="8"/>
          <c:tx>
            <c:v>Q98u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pH!$U$9:$V$9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17F-4143-9F47-4273432B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35232"/>
        <c:axId val="131949312"/>
      </c:scatterChart>
      <c:valAx>
        <c:axId val="131935232"/>
        <c:scaling>
          <c:orientation val="minMax"/>
          <c:max val="9"/>
          <c:min val="5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949312"/>
        <c:crosses val="autoZero"/>
        <c:crossBetween val="midCat"/>
        <c:majorUnit val="1"/>
        <c:minorUnit val="1"/>
      </c:valAx>
      <c:valAx>
        <c:axId val="131949312"/>
        <c:scaling>
          <c:orientation val="minMax"/>
          <c:max val="4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935232"/>
        <c:crosses val="autoZero"/>
        <c:crossBetween val="midCat"/>
        <c:majorUnit val="1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Magnesium!$M$3:$M$252</c:f>
              <c:numCache>
                <c:formatCode>d/m/yyyy;@</c:formatCode>
                <c:ptCount val="250"/>
                <c:pt idx="0">
                  <c:v>36769</c:v>
                </c:pt>
                <c:pt idx="1">
                  <c:v>36895</c:v>
                </c:pt>
                <c:pt idx="2">
                  <c:v>37333</c:v>
                </c:pt>
                <c:pt idx="3">
                  <c:v>37540</c:v>
                </c:pt>
                <c:pt idx="4">
                  <c:v>37677</c:v>
                </c:pt>
                <c:pt idx="5">
                  <c:v>37852</c:v>
                </c:pt>
                <c:pt idx="6">
                  <c:v>38055</c:v>
                </c:pt>
                <c:pt idx="7">
                  <c:v>38264</c:v>
                </c:pt>
                <c:pt idx="8">
                  <c:v>38421</c:v>
                </c:pt>
                <c:pt idx="9">
                  <c:v>38631</c:v>
                </c:pt>
                <c:pt idx="10">
                  <c:v>38747</c:v>
                </c:pt>
                <c:pt idx="11">
                  <c:v>38944</c:v>
                </c:pt>
                <c:pt idx="12">
                  <c:v>39115</c:v>
                </c:pt>
                <c:pt idx="13">
                  <c:v>39318</c:v>
                </c:pt>
                <c:pt idx="14">
                  <c:v>39492</c:v>
                </c:pt>
                <c:pt idx="15">
                  <c:v>39723</c:v>
                </c:pt>
                <c:pt idx="16">
                  <c:v>39842</c:v>
                </c:pt>
                <c:pt idx="17">
                  <c:v>40024</c:v>
                </c:pt>
                <c:pt idx="18">
                  <c:v>40198</c:v>
                </c:pt>
                <c:pt idx="19">
                  <c:v>40329</c:v>
                </c:pt>
                <c:pt idx="20">
                  <c:v>40409</c:v>
                </c:pt>
                <c:pt idx="21">
                  <c:v>40487</c:v>
                </c:pt>
                <c:pt idx="22">
                  <c:v>40639</c:v>
                </c:pt>
                <c:pt idx="23">
                  <c:v>40744</c:v>
                </c:pt>
                <c:pt idx="24">
                  <c:v>40799</c:v>
                </c:pt>
                <c:pt idx="25">
                  <c:v>40898</c:v>
                </c:pt>
                <c:pt idx="26">
                  <c:v>40977</c:v>
                </c:pt>
                <c:pt idx="27">
                  <c:v>41086</c:v>
                </c:pt>
                <c:pt idx="28">
                  <c:v>41164</c:v>
                </c:pt>
                <c:pt idx="29">
                  <c:v>41248</c:v>
                </c:pt>
                <c:pt idx="30">
                  <c:v>41338</c:v>
                </c:pt>
                <c:pt idx="31">
                  <c:v>41429</c:v>
                </c:pt>
                <c:pt idx="32">
                  <c:v>41516</c:v>
                </c:pt>
                <c:pt idx="33">
                  <c:v>41617</c:v>
                </c:pt>
                <c:pt idx="34">
                  <c:v>41696</c:v>
                </c:pt>
                <c:pt idx="35">
                  <c:v>41813</c:v>
                </c:pt>
                <c:pt idx="36">
                  <c:v>41886</c:v>
                </c:pt>
                <c:pt idx="37">
                  <c:v>41975</c:v>
                </c:pt>
                <c:pt idx="38">
                  <c:v>42046</c:v>
                </c:pt>
                <c:pt idx="39">
                  <c:v>42156</c:v>
                </c:pt>
                <c:pt idx="40">
                  <c:v>42254</c:v>
                </c:pt>
                <c:pt idx="41">
                  <c:v>42332</c:v>
                </c:pt>
                <c:pt idx="42">
                  <c:v>42403</c:v>
                </c:pt>
                <c:pt idx="43">
                  <c:v>42508</c:v>
                </c:pt>
                <c:pt idx="44">
                  <c:v>42579</c:v>
                </c:pt>
                <c:pt idx="45">
                  <c:v>42696</c:v>
                </c:pt>
              </c:numCache>
            </c:numRef>
          </c:xVal>
          <c:yVal>
            <c:numRef>
              <c:f>Magnesium!$N$3:$N$252</c:f>
              <c:numCache>
                <c:formatCode>General</c:formatCode>
                <c:ptCount val="250"/>
                <c:pt idx="0">
                  <c:v>28</c:v>
                </c:pt>
                <c:pt idx="1">
                  <c:v>19</c:v>
                </c:pt>
                <c:pt idx="2">
                  <c:v>12.2</c:v>
                </c:pt>
                <c:pt idx="3">
                  <c:v>19.3</c:v>
                </c:pt>
                <c:pt idx="4">
                  <c:v>17.399999999999999</c:v>
                </c:pt>
                <c:pt idx="5">
                  <c:v>24.6</c:v>
                </c:pt>
                <c:pt idx="6">
                  <c:v>17.7</c:v>
                </c:pt>
                <c:pt idx="7">
                  <c:v>21.2</c:v>
                </c:pt>
                <c:pt idx="8">
                  <c:v>14.1</c:v>
                </c:pt>
                <c:pt idx="9">
                  <c:v>19.399999999999999</c:v>
                </c:pt>
                <c:pt idx="10">
                  <c:v>18.3</c:v>
                </c:pt>
                <c:pt idx="11">
                  <c:v>18.3</c:v>
                </c:pt>
                <c:pt idx="12">
                  <c:v>13.8</c:v>
                </c:pt>
                <c:pt idx="13">
                  <c:v>17.8</c:v>
                </c:pt>
                <c:pt idx="14">
                  <c:v>14.8</c:v>
                </c:pt>
                <c:pt idx="15">
                  <c:v>18.3</c:v>
                </c:pt>
                <c:pt idx="16">
                  <c:v>15.1</c:v>
                </c:pt>
                <c:pt idx="17">
                  <c:v>14.6</c:v>
                </c:pt>
                <c:pt idx="18">
                  <c:v>14.4</c:v>
                </c:pt>
                <c:pt idx="19">
                  <c:v>13.2</c:v>
                </c:pt>
                <c:pt idx="20">
                  <c:v>14.5</c:v>
                </c:pt>
                <c:pt idx="21">
                  <c:v>13.5</c:v>
                </c:pt>
                <c:pt idx="22">
                  <c:v>15</c:v>
                </c:pt>
                <c:pt idx="23">
                  <c:v>15.7</c:v>
                </c:pt>
                <c:pt idx="24">
                  <c:v>14.1</c:v>
                </c:pt>
                <c:pt idx="25">
                  <c:v>14.9</c:v>
                </c:pt>
                <c:pt idx="26">
                  <c:v>13.5</c:v>
                </c:pt>
                <c:pt idx="27">
                  <c:v>15.9</c:v>
                </c:pt>
                <c:pt idx="28">
                  <c:v>16.399999999999999</c:v>
                </c:pt>
                <c:pt idx="29">
                  <c:v>15.7</c:v>
                </c:pt>
                <c:pt idx="30">
                  <c:v>14.7</c:v>
                </c:pt>
                <c:pt idx="31">
                  <c:v>16.5</c:v>
                </c:pt>
                <c:pt idx="32">
                  <c:v>17.2</c:v>
                </c:pt>
                <c:pt idx="33">
                  <c:v>18.5</c:v>
                </c:pt>
                <c:pt idx="34">
                  <c:v>14.6</c:v>
                </c:pt>
                <c:pt idx="35">
                  <c:v>10.1</c:v>
                </c:pt>
                <c:pt idx="36">
                  <c:v>12.6</c:v>
                </c:pt>
                <c:pt idx="37">
                  <c:v>11.9</c:v>
                </c:pt>
                <c:pt idx="38">
                  <c:v>15.8</c:v>
                </c:pt>
                <c:pt idx="39">
                  <c:v>13.2</c:v>
                </c:pt>
                <c:pt idx="40">
                  <c:v>13.1</c:v>
                </c:pt>
                <c:pt idx="41">
                  <c:v>13.7</c:v>
                </c:pt>
                <c:pt idx="42">
                  <c:v>14.5</c:v>
                </c:pt>
                <c:pt idx="43">
                  <c:v>13.5</c:v>
                </c:pt>
                <c:pt idx="44">
                  <c:v>12.9</c:v>
                </c:pt>
                <c:pt idx="45">
                  <c:v>11.1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4-42D7-B738-46D37248784E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Magnesium!$E$57:$E$58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Magnesium!$F$57:$F$58</c:f>
              <c:numCache>
                <c:formatCode>0.000</c:formatCode>
                <c:ptCount val="2"/>
                <c:pt idx="0">
                  <c:v>22.249189493314802</c:v>
                </c:pt>
                <c:pt idx="1">
                  <c:v>22.249189493314802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4-42D7-B738-46D37248784E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Magnesium!$E$57:$E$58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Magnesium!$J$57:$J$58</c:f>
              <c:numCache>
                <c:formatCode>0.000</c:formatCode>
                <c:ptCount val="2"/>
                <c:pt idx="0">
                  <c:v>21.264570817632411</c:v>
                </c:pt>
                <c:pt idx="1">
                  <c:v>21.264570817632411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14-42D7-B738-46D37248784E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Magnesium!$G$122:$G$123</c:f>
              <c:numCache>
                <c:formatCode>d/m/yyyy;@</c:formatCode>
                <c:ptCount val="2"/>
                <c:pt idx="0">
                  <c:v>10.1</c:v>
                </c:pt>
                <c:pt idx="1">
                  <c:v>42696</c:v>
                </c:pt>
              </c:numCache>
            </c:numRef>
          </c:xVal>
          <c:yVal>
            <c:numRef>
              <c:f>Magnesium!$I$122:$I$123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14-42D7-B738-46D37248784E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Magnesium!$G$122:$G$123</c:f>
              <c:numCache>
                <c:formatCode>d/m/yyyy;@</c:formatCode>
                <c:ptCount val="2"/>
                <c:pt idx="0">
                  <c:v>10.1</c:v>
                </c:pt>
                <c:pt idx="1">
                  <c:v>42696</c:v>
                </c:pt>
              </c:numCache>
            </c:numRef>
          </c:xVal>
          <c:yVal>
            <c:numRef>
              <c:f>Magnesium!$J$122:$J$123</c:f>
              <c:numCache>
                <c:formatCode>General</c:formatCode>
                <c:ptCount val="2"/>
                <c:pt idx="0">
                  <c:v>66.463191615459436</c:v>
                </c:pt>
                <c:pt idx="1">
                  <c:v>12.738295726854076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14-42D7-B738-46D37248784E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Magnesium!$E$57:$E$58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Magnesium!$G$57:$G$58</c:f>
              <c:numCache>
                <c:formatCode>0.000</c:formatCode>
                <c:ptCount val="2"/>
                <c:pt idx="0">
                  <c:v>9.255158332772158</c:v>
                </c:pt>
                <c:pt idx="1">
                  <c:v>9.255158332772158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14-42D7-B738-46D37248784E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Magnesium!$E$57:$E$58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Magnesium!$H$57:$H$58</c:f>
              <c:numCache>
                <c:formatCode>0.000</c:formatCode>
                <c:ptCount val="2"/>
                <c:pt idx="0">
                  <c:v>23.463702544178659</c:v>
                </c:pt>
                <c:pt idx="1">
                  <c:v>23.463702544178659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14-42D7-B738-46D37248784E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Magnesium!$E$57:$E$58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Magnesium!$K$57:$K$58</c:f>
              <c:numCache>
                <c:formatCode>0.000</c:formatCode>
                <c:ptCount val="2"/>
                <c:pt idx="0">
                  <c:v>23.021542035867611</c:v>
                </c:pt>
                <c:pt idx="1">
                  <c:v>23.021542035867611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14-42D7-B738-46D372487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78016"/>
        <c:axId val="136279552"/>
      </c:scatterChart>
      <c:valAx>
        <c:axId val="136278016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6279552"/>
        <c:crossesAt val="0"/>
        <c:crossBetween val="midCat"/>
        <c:majorUnit val="1461"/>
        <c:minorUnit val="365.25"/>
      </c:valAx>
      <c:valAx>
        <c:axId val="136279552"/>
        <c:scaling>
          <c:orientation val="minMax"/>
          <c:max val="3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6278016"/>
        <c:crossesAt val="0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Calcium!$F$63:$F$113</c:f>
              <c:numCache>
                <c:formatCode>General</c:formatCode>
                <c:ptCount val="51"/>
                <c:pt idx="0">
                  <c:v>9.8355415383397116</c:v>
                </c:pt>
                <c:pt idx="1">
                  <c:v>13.354380746371348</c:v>
                </c:pt>
                <c:pt idx="2">
                  <c:v>16.873219954402984</c:v>
                </c:pt>
                <c:pt idx="3">
                  <c:v>20.392059162434606</c:v>
                </c:pt>
                <c:pt idx="4">
                  <c:v>23.910898370466228</c:v>
                </c:pt>
                <c:pt idx="5">
                  <c:v>27.429737578497864</c:v>
                </c:pt>
                <c:pt idx="6">
                  <c:v>30.9485767865295</c:v>
                </c:pt>
                <c:pt idx="7">
                  <c:v>34.467415994561122</c:v>
                </c:pt>
                <c:pt idx="8">
                  <c:v>37.986255202592751</c:v>
                </c:pt>
                <c:pt idx="9">
                  <c:v>41.50509441062438</c:v>
                </c:pt>
                <c:pt idx="10">
                  <c:v>45.02393361865601</c:v>
                </c:pt>
                <c:pt idx="11">
                  <c:v>48.542772826687639</c:v>
                </c:pt>
                <c:pt idx="12">
                  <c:v>52.061612034719268</c:v>
                </c:pt>
                <c:pt idx="13">
                  <c:v>55.580451242750897</c:v>
                </c:pt>
                <c:pt idx="14">
                  <c:v>59.099290450782526</c:v>
                </c:pt>
                <c:pt idx="15">
                  <c:v>62.618129658814155</c:v>
                </c:pt>
                <c:pt idx="16">
                  <c:v>66.136968866845791</c:v>
                </c:pt>
                <c:pt idx="17">
                  <c:v>69.655808074877413</c:v>
                </c:pt>
                <c:pt idx="18">
                  <c:v>73.174647282909035</c:v>
                </c:pt>
                <c:pt idx="19">
                  <c:v>76.693486490940671</c:v>
                </c:pt>
                <c:pt idx="20">
                  <c:v>80.212325698972307</c:v>
                </c:pt>
                <c:pt idx="21">
                  <c:v>83.731164907003929</c:v>
                </c:pt>
                <c:pt idx="22">
                  <c:v>87.250004115035551</c:v>
                </c:pt>
                <c:pt idx="23">
                  <c:v>90.768843323067188</c:v>
                </c:pt>
                <c:pt idx="24">
                  <c:v>94.287682531098824</c:v>
                </c:pt>
                <c:pt idx="25">
                  <c:v>97.806521739130446</c:v>
                </c:pt>
                <c:pt idx="26">
                  <c:v>101.32536094716207</c:v>
                </c:pt>
                <c:pt idx="27">
                  <c:v>104.8442001551937</c:v>
                </c:pt>
                <c:pt idx="28">
                  <c:v>108.36303936322534</c:v>
                </c:pt>
                <c:pt idx="29">
                  <c:v>111.88187857125713</c:v>
                </c:pt>
                <c:pt idx="30">
                  <c:v>115.40071777928877</c:v>
                </c:pt>
                <c:pt idx="31">
                  <c:v>118.91955698732039</c:v>
                </c:pt>
                <c:pt idx="32">
                  <c:v>122.43839619535203</c:v>
                </c:pt>
                <c:pt idx="33">
                  <c:v>125.95723540338366</c:v>
                </c:pt>
                <c:pt idx="34">
                  <c:v>129.4760746114153</c:v>
                </c:pt>
                <c:pt idx="35">
                  <c:v>132.99491381944691</c:v>
                </c:pt>
                <c:pt idx="36">
                  <c:v>136.51375302747854</c:v>
                </c:pt>
                <c:pt idx="37">
                  <c:v>140.03259223551018</c:v>
                </c:pt>
                <c:pt idx="38">
                  <c:v>143.55143144354179</c:v>
                </c:pt>
                <c:pt idx="39">
                  <c:v>147.07027065157342</c:v>
                </c:pt>
                <c:pt idx="40">
                  <c:v>150.58910985960506</c:v>
                </c:pt>
                <c:pt idx="41">
                  <c:v>154.1079490676367</c:v>
                </c:pt>
                <c:pt idx="42">
                  <c:v>157.62678827566833</c:v>
                </c:pt>
                <c:pt idx="43">
                  <c:v>161.14562748369994</c:v>
                </c:pt>
                <c:pt idx="44">
                  <c:v>164.66446669173158</c:v>
                </c:pt>
                <c:pt idx="45">
                  <c:v>168.18330589976318</c:v>
                </c:pt>
                <c:pt idx="46">
                  <c:v>171.70214510779482</c:v>
                </c:pt>
                <c:pt idx="47">
                  <c:v>175.22098431582646</c:v>
                </c:pt>
                <c:pt idx="48">
                  <c:v>178.73982352385809</c:v>
                </c:pt>
                <c:pt idx="49">
                  <c:v>182.25866273188973</c:v>
                </c:pt>
                <c:pt idx="50">
                  <c:v>185.77750193992119</c:v>
                </c:pt>
              </c:numCache>
            </c:numRef>
          </c:xVal>
          <c:yVal>
            <c:numRef>
              <c:f>Calcium!$G$63:$G$113</c:f>
              <c:numCache>
                <c:formatCode>General</c:formatCode>
                <c:ptCount val="51"/>
                <c:pt idx="0">
                  <c:v>8.450056548994406E-8</c:v>
                </c:pt>
                <c:pt idx="1">
                  <c:v>2.2514805916624703E-7</c:v>
                </c:pt>
                <c:pt idx="2">
                  <c:v>5.7637484783849255E-7</c:v>
                </c:pt>
                <c:pt idx="3">
                  <c:v>1.4176533689361652E-6</c:v>
                </c:pt>
                <c:pt idx="4">
                  <c:v>3.3501427187695494E-6</c:v>
                </c:pt>
                <c:pt idx="5">
                  <c:v>7.6064984986766364E-6</c:v>
                </c:pt>
                <c:pt idx="6">
                  <c:v>1.6593365512416824E-5</c:v>
                </c:pt>
                <c:pt idx="7">
                  <c:v>3.4778624082460309E-5</c:v>
                </c:pt>
                <c:pt idx="8">
                  <c:v>7.0035548408152443E-5</c:v>
                </c:pt>
                <c:pt idx="9">
                  <c:v>1.3550424219573552E-4</c:v>
                </c:pt>
                <c:pt idx="10">
                  <c:v>2.5189263560679135E-4</c:v>
                </c:pt>
                <c:pt idx="11">
                  <c:v>4.4988992761665393E-4</c:v>
                </c:pt>
                <c:pt idx="12">
                  <c:v>7.7201420301802688E-4</c:v>
                </c:pt>
                <c:pt idx="13">
                  <c:v>1.2728362377984284E-3</c:v>
                </c:pt>
                <c:pt idx="14">
                  <c:v>2.0162667714547391E-3</c:v>
                </c:pt>
                <c:pt idx="15">
                  <c:v>3.0686805120254167E-3</c:v>
                </c:pt>
                <c:pt idx="16">
                  <c:v>4.4872842226318958E-3</c:v>
                </c:pt>
                <c:pt idx="17">
                  <c:v>6.3043991567607047E-3</c:v>
                </c:pt>
                <c:pt idx="18">
                  <c:v>8.5100487282281628E-3</c:v>
                </c:pt>
                <c:pt idx="19">
                  <c:v>1.1036938234630898E-2</c:v>
                </c:pt>
                <c:pt idx="20">
                  <c:v>1.3752871911103732E-2</c:v>
                </c:pt>
                <c:pt idx="21">
                  <c:v>1.646517704476361E-2</c:v>
                </c:pt>
                <c:pt idx="22">
                  <c:v>1.893946174813705E-2</c:v>
                </c:pt>
                <c:pt idx="23">
                  <c:v>2.0931342328047241E-2</c:v>
                </c:pt>
                <c:pt idx="24">
                  <c:v>2.222566425217239E-2</c:v>
                </c:pt>
                <c:pt idx="25">
                  <c:v>2.2674652453051034E-2</c:v>
                </c:pt>
                <c:pt idx="26">
                  <c:v>2.222566425217239E-2</c:v>
                </c:pt>
                <c:pt idx="27">
                  <c:v>2.0931342328047241E-2</c:v>
                </c:pt>
                <c:pt idx="28">
                  <c:v>1.893946174813705E-2</c:v>
                </c:pt>
                <c:pt idx="29">
                  <c:v>1.6465177044763486E-2</c:v>
                </c:pt>
                <c:pt idx="30">
                  <c:v>1.3752871911103588E-2</c:v>
                </c:pt>
                <c:pt idx="31">
                  <c:v>1.1036938234630768E-2</c:v>
                </c:pt>
                <c:pt idx="32">
                  <c:v>8.5100487282280448E-3</c:v>
                </c:pt>
                <c:pt idx="33">
                  <c:v>6.3043991567605989E-3</c:v>
                </c:pt>
                <c:pt idx="34">
                  <c:v>4.4872842226318039E-3</c:v>
                </c:pt>
                <c:pt idx="35">
                  <c:v>3.0686805120253564E-3</c:v>
                </c:pt>
                <c:pt idx="36">
                  <c:v>2.0162667714546962E-3</c:v>
                </c:pt>
                <c:pt idx="37">
                  <c:v>1.2728362377983963E-3</c:v>
                </c:pt>
                <c:pt idx="38">
                  <c:v>7.7201420301800823E-4</c:v>
                </c:pt>
                <c:pt idx="39">
                  <c:v>4.4988992761664157E-4</c:v>
                </c:pt>
                <c:pt idx="40">
                  <c:v>2.5189263560678376E-4</c:v>
                </c:pt>
                <c:pt idx="41">
                  <c:v>1.3550424219573121E-4</c:v>
                </c:pt>
                <c:pt idx="42">
                  <c:v>7.0035548408149773E-5</c:v>
                </c:pt>
                <c:pt idx="43">
                  <c:v>3.4778624082459103E-5</c:v>
                </c:pt>
                <c:pt idx="44">
                  <c:v>1.659336551241616E-5</c:v>
                </c:pt>
                <c:pt idx="45">
                  <c:v>7.6064984986763662E-6</c:v>
                </c:pt>
                <c:pt idx="46">
                  <c:v>3.3501427187694245E-6</c:v>
                </c:pt>
                <c:pt idx="47">
                  <c:v>1.4176533689361048E-6</c:v>
                </c:pt>
                <c:pt idx="48">
                  <c:v>5.7637484783846386E-7</c:v>
                </c:pt>
                <c:pt idx="49">
                  <c:v>2.2514805916623543E-7</c:v>
                </c:pt>
                <c:pt idx="50">
                  <c:v>8.4500565489943756E-8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CC-42E5-8385-025E28585B9C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Calcium!$I$63:$I$113</c:f>
              <c:numCache>
                <c:formatCode>General</c:formatCode>
                <c:ptCount val="51"/>
                <c:pt idx="0">
                  <c:v>37.072159220934068</c:v>
                </c:pt>
                <c:pt idx="1">
                  <c:v>38.512962421351958</c:v>
                </c:pt>
                <c:pt idx="2">
                  <c:v>40.009762194560821</c:v>
                </c:pt>
                <c:pt idx="3">
                  <c:v>41.564734837894974</c:v>
                </c:pt>
                <c:pt idx="4">
                  <c:v>43.180141230116739</c:v>
                </c:pt>
                <c:pt idx="5">
                  <c:v>44.85833011865919</c:v>
                </c:pt>
                <c:pt idx="6">
                  <c:v>46.601741534627344</c:v>
                </c:pt>
                <c:pt idx="7">
                  <c:v>48.412910340522586</c:v>
                </c:pt>
                <c:pt idx="8">
                  <c:v>50.29446991584885</c:v>
                </c:pt>
                <c:pt idx="9">
                  <c:v>52.24915598595927</c:v>
                </c:pt>
                <c:pt idx="10">
                  <c:v>54.279810599710309</c:v>
                </c:pt>
                <c:pt idx="11">
                  <c:v>56.389386261706719</c:v>
                </c:pt>
                <c:pt idx="12">
                  <c:v>58.580950225145578</c:v>
                </c:pt>
                <c:pt idx="13">
                  <c:v>60.857688951500862</c:v>
                </c:pt>
                <c:pt idx="14">
                  <c:v>63.222912743533023</c:v>
                </c:pt>
                <c:pt idx="15">
                  <c:v>65.680060558359628</c:v>
                </c:pt>
                <c:pt idx="16">
                  <c:v>68.23270500758521</c:v>
                </c:pt>
                <c:pt idx="17">
                  <c:v>70.884557551760338</c:v>
                </c:pt>
                <c:pt idx="18">
                  <c:v>73.639473896722237</c:v>
                </c:pt>
                <c:pt idx="19">
                  <c:v>76.501459599663775</c:v>
                </c:pt>
                <c:pt idx="20">
                  <c:v>79.474675893080885</c:v>
                </c:pt>
                <c:pt idx="21">
                  <c:v>82.563445735066864</c:v>
                </c:pt>
                <c:pt idx="22">
                  <c:v>85.772260094750507</c:v>
                </c:pt>
                <c:pt idx="23">
                  <c:v>89.105784482016475</c:v>
                </c:pt>
                <c:pt idx="24">
                  <c:v>92.568865731002319</c:v>
                </c:pt>
                <c:pt idx="25">
                  <c:v>96.166539047234906</c:v>
                </c:pt>
                <c:pt idx="26">
                  <c:v>99.904035328652625</c:v>
                </c:pt>
                <c:pt idx="27">
                  <c:v>103.78678877115783</c:v>
                </c:pt>
                <c:pt idx="28">
                  <c:v>107.8204447697579</c:v>
                </c:pt>
                <c:pt idx="29">
                  <c:v>112.01086812678292</c:v>
                </c:pt>
                <c:pt idx="30">
                  <c:v>116.36415157911341</c:v>
                </c:pt>
                <c:pt idx="31">
                  <c:v>120.88662465681919</c:v>
                </c:pt>
                <c:pt idx="32">
                  <c:v>125.58486288608614</c:v>
                </c:pt>
                <c:pt idx="33">
                  <c:v>130.46569734981321</c:v>
                </c:pt>
                <c:pt idx="34">
                  <c:v>135.53622461978171</c:v>
                </c:pt>
                <c:pt idx="35">
                  <c:v>140.80381707483528</c:v>
                </c:pt>
                <c:pt idx="36">
                  <c:v>146.27613362007492</c:v>
                </c:pt>
                <c:pt idx="37">
                  <c:v>151.96113082265344</c:v>
                </c:pt>
                <c:pt idx="38">
                  <c:v>157.86707448036094</c:v>
                </c:pt>
                <c:pt idx="39">
                  <c:v>164.00255163982106</c:v>
                </c:pt>
                <c:pt idx="40">
                  <c:v>170.37648308177276</c:v>
                </c:pt>
                <c:pt idx="41">
                  <c:v>176.99813629159016</c:v>
                </c:pt>
                <c:pt idx="42">
                  <c:v>183.8771389338996</c:v>
                </c:pt>
                <c:pt idx="43">
                  <c:v>191.02349285088542</c:v>
                </c:pt>
                <c:pt idx="44">
                  <c:v>198.44758860463747</c:v>
                </c:pt>
                <c:pt idx="45">
                  <c:v>206.16022058468448</c:v>
                </c:pt>
                <c:pt idx="46">
                  <c:v>214.17260270267926</c:v>
                </c:pt>
                <c:pt idx="47">
                  <c:v>222.49638469705511</c:v>
                </c:pt>
                <c:pt idx="48">
                  <c:v>231.14366907135991</c:v>
                </c:pt>
                <c:pt idx="49">
                  <c:v>240.12702869089583</c:v>
                </c:pt>
                <c:pt idx="50">
                  <c:v>249.45952506324883</c:v>
                </c:pt>
              </c:numCache>
            </c:numRef>
          </c:xVal>
          <c:yVal>
            <c:numRef>
              <c:f>Calcium!$J$63:$J$113</c:f>
              <c:numCache>
                <c:formatCode>General</c:formatCode>
                <c:ptCount val="51"/>
                <c:pt idx="0">
                  <c:v>2.1035856628895531E-7</c:v>
                </c:pt>
                <c:pt idx="1">
                  <c:v>5.3952273510782335E-7</c:v>
                </c:pt>
                <c:pt idx="2">
                  <c:v>1.3294974817875854E-6</c:v>
                </c:pt>
                <c:pt idx="3">
                  <c:v>3.1477012649907104E-6</c:v>
                </c:pt>
                <c:pt idx="4">
                  <c:v>7.1602422985851155E-6</c:v>
                </c:pt>
                <c:pt idx="5">
                  <c:v>1.5649128251882444E-5</c:v>
                </c:pt>
                <c:pt idx="6">
                  <c:v>3.2861001974692581E-5</c:v>
                </c:pt>
                <c:pt idx="7">
                  <c:v>6.6297884989345864E-5</c:v>
                </c:pt>
                <c:pt idx="8">
                  <c:v>1.2851291276945578E-4</c:v>
                </c:pt>
                <c:pt idx="9">
                  <c:v>2.3934374433955323E-4</c:v>
                </c:pt>
                <c:pt idx="10">
                  <c:v>4.282778516951066E-4</c:v>
                </c:pt>
                <c:pt idx="11">
                  <c:v>7.3630435778643602E-4</c:v>
                </c:pt>
                <c:pt idx="12">
                  <c:v>1.2162345793188629E-3</c:v>
                </c:pt>
                <c:pt idx="13">
                  <c:v>1.9302143660830649E-3</c:v>
                </c:pt>
                <c:pt idx="14">
                  <c:v>2.9432148165327368E-3</c:v>
                </c:pt>
                <c:pt idx="15">
                  <c:v>4.3118793391724499E-3</c:v>
                </c:pt>
                <c:pt idx="16">
                  <c:v>6.069311927243819E-3</c:v>
                </c:pt>
                <c:pt idx="17">
                  <c:v>8.2080602929907182E-3</c:v>
                </c:pt>
                <c:pt idx="18">
                  <c:v>1.0665220488468092E-2</c:v>
                </c:pt>
                <c:pt idx="19">
                  <c:v>1.3314576565273606E-2</c:v>
                </c:pt>
                <c:pt idx="20">
                  <c:v>1.5970300987782942E-2</c:v>
                </c:pt>
                <c:pt idx="21">
                  <c:v>1.8404628848293973E-2</c:v>
                </c:pt>
                <c:pt idx="22">
                  <c:v>2.0378360794912218E-2</c:v>
                </c:pt>
                <c:pt idx="23">
                  <c:v>2.1679020251728031E-2</c:v>
                </c:pt>
                <c:pt idx="24">
                  <c:v>2.2158393769017046E-2</c:v>
                </c:pt>
                <c:pt idx="25">
                  <c:v>2.1760312162751726E-2</c:v>
                </c:pt>
                <c:pt idx="26">
                  <c:v>2.0531476740364832E-2</c:v>
                </c:pt>
                <c:pt idx="27">
                  <c:v>1.8612447009908564E-2</c:v>
                </c:pt>
                <c:pt idx="28">
                  <c:v>1.6211193212366876E-2</c:v>
                </c:pt>
                <c:pt idx="29">
                  <c:v>1.3566090510701208E-2</c:v>
                </c:pt>
                <c:pt idx="30">
                  <c:v>1.0907435646587967E-2</c:v>
                </c:pt>
                <c:pt idx="31">
                  <c:v>8.425949058355477E-3</c:v>
                </c:pt>
                <c:pt idx="32">
                  <c:v>6.253788933748416E-3</c:v>
                </c:pt>
                <c:pt idx="33">
                  <c:v>4.4595992206808172E-3</c:v>
                </c:pt>
                <c:pt idx="34">
                  <c:v>3.0554604239005543E-3</c:v>
                </c:pt>
                <c:pt idx="35">
                  <c:v>2.0113410417464854E-3</c:v>
                </c:pt>
                <c:pt idx="36">
                  <c:v>1.2721050859494517E-3</c:v>
                </c:pt>
                <c:pt idx="37">
                  <c:v>7.7301599997890713E-4</c:v>
                </c:pt>
                <c:pt idx="38">
                  <c:v>4.513175251248535E-4</c:v>
                </c:pt>
                <c:pt idx="39">
                  <c:v>2.5316527348050638E-4</c:v>
                </c:pt>
                <c:pt idx="40">
                  <c:v>1.3644395196784975E-4</c:v>
                </c:pt>
                <c:pt idx="41">
                  <c:v>7.0653335081781172E-5</c:v>
                </c:pt>
                <c:pt idx="42">
                  <c:v>3.5151127881127172E-5</c:v>
                </c:pt>
                <c:pt idx="43">
                  <c:v>1.6802506926521718E-5</c:v>
                </c:pt>
                <c:pt idx="44">
                  <c:v>7.7167978273819308E-6</c:v>
                </c:pt>
                <c:pt idx="45">
                  <c:v>3.4050883298497161E-6</c:v>
                </c:pt>
                <c:pt idx="46">
                  <c:v>1.4436032890909118E-6</c:v>
                </c:pt>
                <c:pt idx="47">
                  <c:v>5.88024693553472E-7</c:v>
                </c:pt>
                <c:pt idx="48">
                  <c:v>2.3012907209742568E-7</c:v>
                </c:pt>
                <c:pt idx="49">
                  <c:v>8.6531778350612413E-8</c:v>
                </c:pt>
                <c:pt idx="50">
                  <c:v>3.126136899753344E-8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CC-42E5-8385-025E28585B9C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Calcium!$T$46:$T$97</c:f>
              <c:numCache>
                <c:formatCode>0.0</c:formatCode>
                <c:ptCount val="52"/>
                <c:pt idx="0">
                  <c:v>45.559439999999995</c:v>
                </c:pt>
                <c:pt idx="1">
                  <c:v>45.640559999999994</c:v>
                </c:pt>
                <c:pt idx="2">
                  <c:v>49.615439999999992</c:v>
                </c:pt>
                <c:pt idx="3">
                  <c:v>49.696559999999991</c:v>
                </c:pt>
                <c:pt idx="4">
                  <c:v>53.671439999999997</c:v>
                </c:pt>
                <c:pt idx="5">
                  <c:v>53.752559999999995</c:v>
                </c:pt>
                <c:pt idx="6">
                  <c:v>57.727439999999994</c:v>
                </c:pt>
                <c:pt idx="7">
                  <c:v>57.808559999999993</c:v>
                </c:pt>
                <c:pt idx="8">
                  <c:v>61.783439999999999</c:v>
                </c:pt>
                <c:pt idx="9">
                  <c:v>61.864559999999997</c:v>
                </c:pt>
                <c:pt idx="10">
                  <c:v>65.839439999999996</c:v>
                </c:pt>
                <c:pt idx="11">
                  <c:v>65.920559999999995</c:v>
                </c:pt>
                <c:pt idx="12">
                  <c:v>69.895439999999994</c:v>
                </c:pt>
                <c:pt idx="13">
                  <c:v>69.976559999999992</c:v>
                </c:pt>
                <c:pt idx="14">
                  <c:v>73.951439999999991</c:v>
                </c:pt>
                <c:pt idx="15">
                  <c:v>74.032559999999989</c:v>
                </c:pt>
                <c:pt idx="16">
                  <c:v>78.007440000000003</c:v>
                </c:pt>
                <c:pt idx="17">
                  <c:v>78.088560000000001</c:v>
                </c:pt>
                <c:pt idx="18">
                  <c:v>82.063439999999986</c:v>
                </c:pt>
                <c:pt idx="19">
                  <c:v>82.144559999999984</c:v>
                </c:pt>
                <c:pt idx="20">
                  <c:v>86.119439999999997</c:v>
                </c:pt>
                <c:pt idx="21">
                  <c:v>86.200559999999996</c:v>
                </c:pt>
                <c:pt idx="22">
                  <c:v>90.175439999999995</c:v>
                </c:pt>
                <c:pt idx="23">
                  <c:v>90.256559999999993</c:v>
                </c:pt>
                <c:pt idx="24">
                  <c:v>94.231439999999992</c:v>
                </c:pt>
                <c:pt idx="25">
                  <c:v>94.312559999999991</c:v>
                </c:pt>
                <c:pt idx="26">
                  <c:v>98.287440000000004</c:v>
                </c:pt>
                <c:pt idx="27">
                  <c:v>98.368560000000002</c:v>
                </c:pt>
                <c:pt idx="28">
                  <c:v>102.34343999999999</c:v>
                </c:pt>
                <c:pt idx="29">
                  <c:v>102.42455999999999</c:v>
                </c:pt>
                <c:pt idx="30">
                  <c:v>106.39944</c:v>
                </c:pt>
                <c:pt idx="31">
                  <c:v>106.48056</c:v>
                </c:pt>
                <c:pt idx="32">
                  <c:v>110.45544</c:v>
                </c:pt>
                <c:pt idx="33">
                  <c:v>110.53655999999999</c:v>
                </c:pt>
                <c:pt idx="34">
                  <c:v>114.51143999999999</c:v>
                </c:pt>
                <c:pt idx="35">
                  <c:v>114.59255999999999</c:v>
                </c:pt>
                <c:pt idx="36">
                  <c:v>118.56743999999999</c:v>
                </c:pt>
                <c:pt idx="37">
                  <c:v>118.64855999999999</c:v>
                </c:pt>
                <c:pt idx="38">
                  <c:v>122.62344</c:v>
                </c:pt>
                <c:pt idx="39">
                  <c:v>122.70456</c:v>
                </c:pt>
                <c:pt idx="40">
                  <c:v>126.67944</c:v>
                </c:pt>
                <c:pt idx="41">
                  <c:v>126.76056</c:v>
                </c:pt>
                <c:pt idx="42">
                  <c:v>130.73544000000001</c:v>
                </c:pt>
                <c:pt idx="43">
                  <c:v>130.81656000000001</c:v>
                </c:pt>
                <c:pt idx="44">
                  <c:v>134.79143999999999</c:v>
                </c:pt>
                <c:pt idx="45">
                  <c:v>134.87255999999999</c:v>
                </c:pt>
                <c:pt idx="46">
                  <c:v>138.84743999999998</c:v>
                </c:pt>
                <c:pt idx="47">
                  <c:v>138.92855999999998</c:v>
                </c:pt>
                <c:pt idx="48">
                  <c:v>142.90343999999999</c:v>
                </c:pt>
                <c:pt idx="49">
                  <c:v>142.98455999999999</c:v>
                </c:pt>
                <c:pt idx="50">
                  <c:v>146.95944</c:v>
                </c:pt>
                <c:pt idx="51">
                  <c:v>147.04056</c:v>
                </c:pt>
              </c:numCache>
            </c:numRef>
          </c:xVal>
          <c:yVal>
            <c:numRef>
              <c:f>Calcium!$U$46:$U$97</c:f>
              <c:numCache>
                <c:formatCode>0.0000</c:formatCode>
                <c:ptCount val="52"/>
                <c:pt idx="0">
                  <c:v>0</c:v>
                </c:pt>
                <c:pt idx="1">
                  <c:v>5.3597461624217482E-3</c:v>
                </c:pt>
                <c:pt idx="2">
                  <c:v>5.3597461624217482E-3</c:v>
                </c:pt>
                <c:pt idx="3">
                  <c:v>5.3597461624217482E-3</c:v>
                </c:pt>
                <c:pt idx="4">
                  <c:v>5.3597461624217482E-3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5.3597461624217482E-3</c:v>
                </c:pt>
                <c:pt idx="14">
                  <c:v>5.3597461624217482E-3</c:v>
                </c:pt>
                <c:pt idx="15">
                  <c:v>5.3597461624217482E-3</c:v>
                </c:pt>
                <c:pt idx="16">
                  <c:v>5.3597461624217482E-3</c:v>
                </c:pt>
                <c:pt idx="17">
                  <c:v>5.3597461624217482E-3</c:v>
                </c:pt>
                <c:pt idx="18">
                  <c:v>5.3597461624217482E-3</c:v>
                </c:pt>
                <c:pt idx="19">
                  <c:v>2.1438984649686993E-2</c:v>
                </c:pt>
                <c:pt idx="20">
                  <c:v>2.1438984649686993E-2</c:v>
                </c:pt>
                <c:pt idx="21">
                  <c:v>1.6079238487265245E-2</c:v>
                </c:pt>
                <c:pt idx="22">
                  <c:v>1.6079238487265245E-2</c:v>
                </c:pt>
                <c:pt idx="23">
                  <c:v>1.6079238487265245E-2</c:v>
                </c:pt>
                <c:pt idx="24">
                  <c:v>1.6079238487265245E-2</c:v>
                </c:pt>
                <c:pt idx="25">
                  <c:v>3.7518223136952231E-2</c:v>
                </c:pt>
                <c:pt idx="26">
                  <c:v>3.7518223136952231E-2</c:v>
                </c:pt>
                <c:pt idx="27">
                  <c:v>1.6079238487265245E-2</c:v>
                </c:pt>
                <c:pt idx="28">
                  <c:v>1.6079238487265245E-2</c:v>
                </c:pt>
                <c:pt idx="29">
                  <c:v>2.6798730812108741E-2</c:v>
                </c:pt>
                <c:pt idx="30">
                  <c:v>2.6798730812108741E-2</c:v>
                </c:pt>
                <c:pt idx="31">
                  <c:v>2.1438984649686993E-2</c:v>
                </c:pt>
                <c:pt idx="32">
                  <c:v>2.1438984649686993E-2</c:v>
                </c:pt>
                <c:pt idx="33">
                  <c:v>2.6798730812108741E-2</c:v>
                </c:pt>
                <c:pt idx="34">
                  <c:v>2.6798730812108741E-2</c:v>
                </c:pt>
                <c:pt idx="35">
                  <c:v>0</c:v>
                </c:pt>
                <c:pt idx="36">
                  <c:v>0</c:v>
                </c:pt>
                <c:pt idx="37">
                  <c:v>2.1438984649686993E-2</c:v>
                </c:pt>
                <c:pt idx="38">
                  <c:v>2.1438984649686993E-2</c:v>
                </c:pt>
                <c:pt idx="39">
                  <c:v>5.3597461624217482E-3</c:v>
                </c:pt>
                <c:pt idx="40">
                  <c:v>5.3597461624217482E-3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5.3597461624217482E-3</c:v>
                </c:pt>
                <c:pt idx="46">
                  <c:v>5.3597461624217482E-3</c:v>
                </c:pt>
                <c:pt idx="47">
                  <c:v>5.3597461624217482E-3</c:v>
                </c:pt>
                <c:pt idx="48">
                  <c:v>5.3597461624217482E-3</c:v>
                </c:pt>
                <c:pt idx="49">
                  <c:v>5.3597461624217482E-3</c:v>
                </c:pt>
                <c:pt idx="50">
                  <c:v>5.3597461624217482E-3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CC-42E5-8385-025E28585B9C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Calcium!$U$3:$V$3</c:f>
              <c:numCache>
                <c:formatCode>0.000</c:formatCode>
                <c:ptCount val="2"/>
                <c:pt idx="0">
                  <c:v>132.29051231477763</c:v>
                </c:pt>
                <c:pt idx="1">
                  <c:v>132.29051231477763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CC-42E5-8385-025E28585B9C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Calcium!$U$4:$V$4</c:f>
              <c:numCache>
                <c:formatCode>0.000</c:formatCode>
                <c:ptCount val="2"/>
                <c:pt idx="0">
                  <c:v>131.58609714539944</c:v>
                </c:pt>
                <c:pt idx="1">
                  <c:v>131.58609714539944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CC-42E5-8385-025E28585B9C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Calcium!$U$5:$V$5</c:f>
              <c:numCache>
                <c:formatCode>0.000</c:formatCode>
                <c:ptCount val="2"/>
                <c:pt idx="0">
                  <c:v>138.73674229261013</c:v>
                </c:pt>
                <c:pt idx="1">
                  <c:v>138.73674229261013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CC-42E5-8385-025E28585B9C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Calcium!$U$6:$V$6</c:f>
              <c:numCache>
                <c:formatCode>0.000</c:formatCode>
                <c:ptCount val="2"/>
                <c:pt idx="0">
                  <c:v>142.25403086136114</c:v>
                </c:pt>
                <c:pt idx="1">
                  <c:v>142.25403086136114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CC-42E5-8385-025E28585B9C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Calcium!$U$7:$V$7</c:f>
              <c:numCache>
                <c:formatCode>0.000</c:formatCode>
                <c:ptCount val="2"/>
                <c:pt idx="0">
                  <c:v>63.322531163483248</c:v>
                </c:pt>
                <c:pt idx="1">
                  <c:v>63.322531163483248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CC-42E5-8385-025E28585B9C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Calcium!$U$8:$V$8</c:f>
              <c:numCache>
                <c:formatCode>0.000</c:formatCode>
                <c:ptCount val="2"/>
                <c:pt idx="0">
                  <c:v>4.1924279749228628</c:v>
                </c:pt>
                <c:pt idx="1">
                  <c:v>4.1924279749228628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CC-42E5-8385-025E28585B9C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Calcium!$U$11:$V$11</c:f>
              <c:numCache>
                <c:formatCode>0.000</c:formatCode>
                <c:ptCount val="2"/>
                <c:pt idx="0">
                  <c:v>97.5</c:v>
                </c:pt>
                <c:pt idx="1">
                  <c:v>97.5</c:v>
                </c:pt>
              </c:numCache>
            </c:numRef>
          </c:xVal>
          <c:yVal>
            <c:numRef>
              <c:f>Calcium!$U$2:$V$2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CC-42E5-8385-025E28585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79424"/>
        <c:axId val="136680960"/>
      </c:scatterChart>
      <c:valAx>
        <c:axId val="136679424"/>
        <c:scaling>
          <c:orientation val="minMax"/>
          <c:max val="2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6680960"/>
        <c:crosses val="autoZero"/>
        <c:crossBetween val="midCat"/>
        <c:majorUnit val="50"/>
        <c:minorUnit val="10"/>
      </c:valAx>
      <c:valAx>
        <c:axId val="136680960"/>
        <c:scaling>
          <c:orientation val="minMax"/>
          <c:max val="5.000000000000001E-2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6679424"/>
        <c:crosses val="autoZero"/>
        <c:crossBetween val="midCat"/>
        <c:majorUnit val="1.0000000000000002E-2"/>
        <c:minorUnit val="5.000000000000001E-3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Calcium!$M$3:$M$252</c:f>
              <c:numCache>
                <c:formatCode>d/m/yyyy;@</c:formatCode>
                <c:ptCount val="250"/>
                <c:pt idx="0">
                  <c:v>36769</c:v>
                </c:pt>
                <c:pt idx="1">
                  <c:v>36895</c:v>
                </c:pt>
                <c:pt idx="2">
                  <c:v>37333</c:v>
                </c:pt>
                <c:pt idx="3">
                  <c:v>37540</c:v>
                </c:pt>
                <c:pt idx="4">
                  <c:v>37677</c:v>
                </c:pt>
                <c:pt idx="5">
                  <c:v>37852</c:v>
                </c:pt>
                <c:pt idx="6">
                  <c:v>38055</c:v>
                </c:pt>
                <c:pt idx="7">
                  <c:v>38264</c:v>
                </c:pt>
                <c:pt idx="8">
                  <c:v>38421</c:v>
                </c:pt>
                <c:pt idx="9">
                  <c:v>38631</c:v>
                </c:pt>
                <c:pt idx="10">
                  <c:v>38747</c:v>
                </c:pt>
                <c:pt idx="11">
                  <c:v>38944</c:v>
                </c:pt>
                <c:pt idx="12">
                  <c:v>39115</c:v>
                </c:pt>
                <c:pt idx="13">
                  <c:v>39318</c:v>
                </c:pt>
                <c:pt idx="14">
                  <c:v>39492</c:v>
                </c:pt>
                <c:pt idx="15">
                  <c:v>39723</c:v>
                </c:pt>
                <c:pt idx="16">
                  <c:v>39842</c:v>
                </c:pt>
                <c:pt idx="17">
                  <c:v>40024</c:v>
                </c:pt>
                <c:pt idx="18">
                  <c:v>40198</c:v>
                </c:pt>
                <c:pt idx="19">
                  <c:v>40329</c:v>
                </c:pt>
                <c:pt idx="20">
                  <c:v>40409</c:v>
                </c:pt>
                <c:pt idx="21">
                  <c:v>40487</c:v>
                </c:pt>
                <c:pt idx="22">
                  <c:v>40639</c:v>
                </c:pt>
                <c:pt idx="23">
                  <c:v>40744</c:v>
                </c:pt>
                <c:pt idx="24">
                  <c:v>40799</c:v>
                </c:pt>
                <c:pt idx="25">
                  <c:v>40898</c:v>
                </c:pt>
                <c:pt idx="26">
                  <c:v>40977</c:v>
                </c:pt>
                <c:pt idx="27">
                  <c:v>41086</c:v>
                </c:pt>
                <c:pt idx="28">
                  <c:v>41164</c:v>
                </c:pt>
                <c:pt idx="29">
                  <c:v>41248</c:v>
                </c:pt>
                <c:pt idx="30">
                  <c:v>41338</c:v>
                </c:pt>
                <c:pt idx="31">
                  <c:v>41429</c:v>
                </c:pt>
                <c:pt idx="32">
                  <c:v>41516</c:v>
                </c:pt>
                <c:pt idx="33">
                  <c:v>41617</c:v>
                </c:pt>
                <c:pt idx="34">
                  <c:v>41696</c:v>
                </c:pt>
                <c:pt idx="35">
                  <c:v>41813</c:v>
                </c:pt>
                <c:pt idx="36">
                  <c:v>41886</c:v>
                </c:pt>
                <c:pt idx="37">
                  <c:v>41975</c:v>
                </c:pt>
                <c:pt idx="38">
                  <c:v>42046</c:v>
                </c:pt>
                <c:pt idx="39">
                  <c:v>42156</c:v>
                </c:pt>
                <c:pt idx="40">
                  <c:v>42254</c:v>
                </c:pt>
                <c:pt idx="41">
                  <c:v>42332</c:v>
                </c:pt>
                <c:pt idx="42">
                  <c:v>42403</c:v>
                </c:pt>
                <c:pt idx="43">
                  <c:v>42508</c:v>
                </c:pt>
                <c:pt idx="44">
                  <c:v>42579</c:v>
                </c:pt>
                <c:pt idx="45">
                  <c:v>42696</c:v>
                </c:pt>
              </c:numCache>
            </c:numRef>
          </c:xVal>
          <c:yVal>
            <c:numRef>
              <c:f>Calcium!$N$3:$N$252</c:f>
              <c:numCache>
                <c:formatCode>General</c:formatCode>
                <c:ptCount val="250"/>
                <c:pt idx="0">
                  <c:v>140</c:v>
                </c:pt>
                <c:pt idx="1">
                  <c:v>92</c:v>
                </c:pt>
                <c:pt idx="2">
                  <c:v>48</c:v>
                </c:pt>
                <c:pt idx="3">
                  <c:v>97</c:v>
                </c:pt>
                <c:pt idx="4">
                  <c:v>73</c:v>
                </c:pt>
                <c:pt idx="5">
                  <c:v>120</c:v>
                </c:pt>
                <c:pt idx="6">
                  <c:v>78</c:v>
                </c:pt>
                <c:pt idx="7">
                  <c:v>106</c:v>
                </c:pt>
                <c:pt idx="8">
                  <c:v>66</c:v>
                </c:pt>
                <c:pt idx="9">
                  <c:v>92</c:v>
                </c:pt>
                <c:pt idx="10">
                  <c:v>91</c:v>
                </c:pt>
                <c:pt idx="11">
                  <c:v>88</c:v>
                </c:pt>
                <c:pt idx="12">
                  <c:v>79</c:v>
                </c:pt>
                <c:pt idx="13">
                  <c:v>94</c:v>
                </c:pt>
                <c:pt idx="14">
                  <c:v>89</c:v>
                </c:pt>
                <c:pt idx="15">
                  <c:v>91</c:v>
                </c:pt>
                <c:pt idx="16">
                  <c:v>83</c:v>
                </c:pt>
                <c:pt idx="17">
                  <c:v>81</c:v>
                </c:pt>
                <c:pt idx="18">
                  <c:v>87</c:v>
                </c:pt>
                <c:pt idx="19">
                  <c:v>106</c:v>
                </c:pt>
                <c:pt idx="20">
                  <c:v>82</c:v>
                </c:pt>
                <c:pt idx="21">
                  <c:v>133</c:v>
                </c:pt>
                <c:pt idx="22">
                  <c:v>104</c:v>
                </c:pt>
                <c:pt idx="23">
                  <c:v>107</c:v>
                </c:pt>
                <c:pt idx="24">
                  <c:v>98</c:v>
                </c:pt>
                <c:pt idx="25">
                  <c:v>110</c:v>
                </c:pt>
                <c:pt idx="26">
                  <c:v>101</c:v>
                </c:pt>
                <c:pt idx="27">
                  <c:v>136</c:v>
                </c:pt>
                <c:pt idx="28">
                  <c:v>107</c:v>
                </c:pt>
                <c:pt idx="29">
                  <c:v>101</c:v>
                </c:pt>
                <c:pt idx="30">
                  <c:v>108</c:v>
                </c:pt>
                <c:pt idx="31">
                  <c:v>116</c:v>
                </c:pt>
                <c:pt idx="32">
                  <c:v>96</c:v>
                </c:pt>
                <c:pt idx="33">
                  <c:v>117</c:v>
                </c:pt>
                <c:pt idx="34">
                  <c:v>99</c:v>
                </c:pt>
                <c:pt idx="35">
                  <c:v>84.1</c:v>
                </c:pt>
                <c:pt idx="36">
                  <c:v>85</c:v>
                </c:pt>
                <c:pt idx="37">
                  <c:v>110</c:v>
                </c:pt>
                <c:pt idx="38">
                  <c:v>102</c:v>
                </c:pt>
                <c:pt idx="39">
                  <c:v>116</c:v>
                </c:pt>
                <c:pt idx="40">
                  <c:v>80</c:v>
                </c:pt>
                <c:pt idx="41">
                  <c:v>93.4</c:v>
                </c:pt>
                <c:pt idx="42">
                  <c:v>104</c:v>
                </c:pt>
                <c:pt idx="43">
                  <c:v>116</c:v>
                </c:pt>
                <c:pt idx="44">
                  <c:v>94</c:v>
                </c:pt>
                <c:pt idx="45">
                  <c:v>98.6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CA-483E-9D8D-76D06631F3D6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Calcium!$E$57:$E$58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Calcium!$F$57:$F$58</c:f>
              <c:numCache>
                <c:formatCode>0.000</c:formatCode>
                <c:ptCount val="2"/>
                <c:pt idx="0">
                  <c:v>132.29051231477763</c:v>
                </c:pt>
                <c:pt idx="1">
                  <c:v>132.29051231477763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CA-483E-9D8D-76D06631F3D6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Calcium!$E$57:$E$58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Calcium!$J$57:$J$58</c:f>
              <c:numCache>
                <c:formatCode>0.000</c:formatCode>
                <c:ptCount val="2"/>
                <c:pt idx="0">
                  <c:v>131.58609714539944</c:v>
                </c:pt>
                <c:pt idx="1">
                  <c:v>131.58609714539944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CA-483E-9D8D-76D06631F3D6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Calcium!$G$122:$G$123</c:f>
              <c:numCache>
                <c:formatCode>d/m/yyyy;@</c:formatCode>
                <c:ptCount val="2"/>
                <c:pt idx="0">
                  <c:v>48</c:v>
                </c:pt>
                <c:pt idx="1">
                  <c:v>42696</c:v>
                </c:pt>
              </c:numCache>
            </c:numRef>
          </c:xVal>
          <c:yVal>
            <c:numRef>
              <c:f>Calcium!$I$122:$I$123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CA-483E-9D8D-76D06631F3D6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Calcium!$G$122:$G$123</c:f>
              <c:numCache>
                <c:formatCode>d/m/yyyy;@</c:formatCode>
                <c:ptCount val="2"/>
                <c:pt idx="0">
                  <c:v>48</c:v>
                </c:pt>
                <c:pt idx="1">
                  <c:v>42696</c:v>
                </c:pt>
              </c:numCache>
            </c:numRef>
          </c:xVal>
          <c:yVal>
            <c:numRef>
              <c:f>Calcium!$J$122:$J$123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CA-483E-9D8D-76D06631F3D6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Calcium!$E$57:$E$58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Calcium!$G$57:$G$58</c:f>
              <c:numCache>
                <c:formatCode>0.000</c:formatCode>
                <c:ptCount val="2"/>
                <c:pt idx="0">
                  <c:v>63.322531163483248</c:v>
                </c:pt>
                <c:pt idx="1">
                  <c:v>63.322531163483248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CA-483E-9D8D-76D06631F3D6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Calcium!$E$57:$E$58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Calcium!$H$57:$H$58</c:f>
              <c:numCache>
                <c:formatCode>0.000</c:formatCode>
                <c:ptCount val="2"/>
                <c:pt idx="0">
                  <c:v>138.73674229261013</c:v>
                </c:pt>
                <c:pt idx="1">
                  <c:v>138.73674229261013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CA-483E-9D8D-76D06631F3D6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Calcium!$E$57:$E$58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Calcium!$K$57:$K$58</c:f>
              <c:numCache>
                <c:formatCode>0.000</c:formatCode>
                <c:ptCount val="2"/>
                <c:pt idx="0">
                  <c:v>142.25403086136114</c:v>
                </c:pt>
                <c:pt idx="1">
                  <c:v>142.25403086136114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CA-483E-9D8D-76D06631F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46944"/>
        <c:axId val="147348480"/>
      </c:scatterChart>
      <c:valAx>
        <c:axId val="147346944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47348480"/>
        <c:crossesAt val="0"/>
        <c:crossBetween val="midCat"/>
        <c:majorUnit val="1461"/>
        <c:minorUnit val="365.25"/>
      </c:valAx>
      <c:valAx>
        <c:axId val="147348480"/>
        <c:scaling>
          <c:orientation val="minMax"/>
          <c:max val="2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47346944"/>
        <c:crossesAt val="0"/>
        <c:crossBetween val="midCat"/>
        <c:majorUnit val="5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Ngesamt!$F$63:$F$113</c:f>
              <c:numCache>
                <c:formatCode>General</c:formatCode>
                <c:ptCount val="51"/>
                <c:pt idx="0">
                  <c:v>-13.101244357766786</c:v>
                </c:pt>
                <c:pt idx="1">
                  <c:v>-12.300417440598972</c:v>
                </c:pt>
                <c:pt idx="2">
                  <c:v>-11.499590523431154</c:v>
                </c:pt>
                <c:pt idx="3">
                  <c:v>-10.698763606263343</c:v>
                </c:pt>
                <c:pt idx="4">
                  <c:v>-9.8979366890955287</c:v>
                </c:pt>
                <c:pt idx="5">
                  <c:v>-9.0971097719277143</c:v>
                </c:pt>
                <c:pt idx="6">
                  <c:v>-8.2962828547598999</c:v>
                </c:pt>
                <c:pt idx="7">
                  <c:v>-7.4954559375920855</c:v>
                </c:pt>
                <c:pt idx="8">
                  <c:v>-6.6946290204242711</c:v>
                </c:pt>
                <c:pt idx="9">
                  <c:v>-5.8938021032564585</c:v>
                </c:pt>
                <c:pt idx="10">
                  <c:v>-5.0929751860886423</c:v>
                </c:pt>
                <c:pt idx="11">
                  <c:v>-4.2921482689208279</c:v>
                </c:pt>
                <c:pt idx="12">
                  <c:v>-3.4913213517530153</c:v>
                </c:pt>
                <c:pt idx="13">
                  <c:v>-2.6904944345852009</c:v>
                </c:pt>
                <c:pt idx="14">
                  <c:v>-1.8896675174173865</c:v>
                </c:pt>
                <c:pt idx="15">
                  <c:v>-1.0888406002495721</c:v>
                </c:pt>
                <c:pt idx="16">
                  <c:v>-0.28801368308175768</c:v>
                </c:pt>
                <c:pt idx="17">
                  <c:v>0.51281323408605584</c:v>
                </c:pt>
                <c:pt idx="18">
                  <c:v>1.3136401512538711</c:v>
                </c:pt>
                <c:pt idx="19">
                  <c:v>2.1144670684216846</c:v>
                </c:pt>
                <c:pt idx="20">
                  <c:v>2.915293985589499</c:v>
                </c:pt>
                <c:pt idx="21">
                  <c:v>3.716120902757313</c:v>
                </c:pt>
                <c:pt idx="22">
                  <c:v>4.516947819925127</c:v>
                </c:pt>
                <c:pt idx="23">
                  <c:v>5.3177747370929414</c:v>
                </c:pt>
                <c:pt idx="24">
                  <c:v>6.1186016542607558</c:v>
                </c:pt>
                <c:pt idx="25">
                  <c:v>6.9194285714285702</c:v>
                </c:pt>
                <c:pt idx="26">
                  <c:v>7.7202554885963846</c:v>
                </c:pt>
                <c:pt idx="27">
                  <c:v>8.521082405764199</c:v>
                </c:pt>
                <c:pt idx="28">
                  <c:v>9.3219093229320134</c:v>
                </c:pt>
                <c:pt idx="29">
                  <c:v>10.122736240099867</c:v>
                </c:pt>
                <c:pt idx="30">
                  <c:v>10.923563157267681</c:v>
                </c:pt>
                <c:pt idx="31">
                  <c:v>11.724390074435496</c:v>
                </c:pt>
                <c:pt idx="32">
                  <c:v>12.525216991603308</c:v>
                </c:pt>
                <c:pt idx="33">
                  <c:v>13.326043908771124</c:v>
                </c:pt>
                <c:pt idx="34">
                  <c:v>14.126870825938937</c:v>
                </c:pt>
                <c:pt idx="35">
                  <c:v>14.927697743106753</c:v>
                </c:pt>
                <c:pt idx="36">
                  <c:v>15.728524660274566</c:v>
                </c:pt>
                <c:pt idx="37">
                  <c:v>16.529351577442384</c:v>
                </c:pt>
                <c:pt idx="38">
                  <c:v>17.330178494610195</c:v>
                </c:pt>
                <c:pt idx="39">
                  <c:v>18.131005411778009</c:v>
                </c:pt>
                <c:pt idx="40">
                  <c:v>18.931832328945823</c:v>
                </c:pt>
                <c:pt idx="41">
                  <c:v>19.732659246113638</c:v>
                </c:pt>
                <c:pt idx="42">
                  <c:v>20.533486163281452</c:v>
                </c:pt>
                <c:pt idx="43">
                  <c:v>21.334313080449263</c:v>
                </c:pt>
                <c:pt idx="44">
                  <c:v>22.135139997617081</c:v>
                </c:pt>
                <c:pt idx="45">
                  <c:v>22.935966914784892</c:v>
                </c:pt>
                <c:pt idx="46">
                  <c:v>23.73679383195271</c:v>
                </c:pt>
                <c:pt idx="47">
                  <c:v>24.537620749120521</c:v>
                </c:pt>
                <c:pt idx="48">
                  <c:v>25.338447666288339</c:v>
                </c:pt>
                <c:pt idx="49">
                  <c:v>26.13927458345615</c:v>
                </c:pt>
                <c:pt idx="50">
                  <c:v>26.940101500623925</c:v>
                </c:pt>
              </c:numCache>
            </c:numRef>
          </c:xVal>
          <c:yVal>
            <c:numRef>
              <c:f>Ngesamt!$G$63:$G$113</c:f>
              <c:numCache>
                <c:formatCode>General</c:formatCode>
                <c:ptCount val="51"/>
                <c:pt idx="0">
                  <c:v>3.7129608979483242E-7</c:v>
                </c:pt>
                <c:pt idx="1">
                  <c:v>9.8930218405782702E-7</c:v>
                </c:pt>
                <c:pt idx="2">
                  <c:v>2.5325952083006049E-6</c:v>
                </c:pt>
                <c:pt idx="3">
                  <c:v>6.2291790536373319E-6</c:v>
                </c:pt>
                <c:pt idx="4">
                  <c:v>1.4720551093611222E-5</c:v>
                </c:pt>
                <c:pt idx="5">
                  <c:v>3.3423008866431767E-5</c:v>
                </c:pt>
                <c:pt idx="6">
                  <c:v>7.2911366871621387E-5</c:v>
                </c:pt>
                <c:pt idx="7">
                  <c:v>1.5281752323655903E-4</c:v>
                </c:pt>
                <c:pt idx="8">
                  <c:v>3.0773670116655355E-4</c:v>
                </c:pt>
                <c:pt idx="9">
                  <c:v>5.9540661043121549E-4</c:v>
                </c:pt>
                <c:pt idx="10">
                  <c:v>1.1068180444312684E-3</c:v>
                </c:pt>
                <c:pt idx="11">
                  <c:v>1.9768195632018887E-3</c:v>
                </c:pt>
                <c:pt idx="12">
                  <c:v>3.3922359357557125E-3</c:v>
                </c:pt>
                <c:pt idx="13">
                  <c:v>5.5928515425137989E-3</c:v>
                </c:pt>
                <c:pt idx="14">
                  <c:v>8.8594906304323637E-3</c:v>
                </c:pt>
                <c:pt idx="15">
                  <c:v>1.3483804141881557E-2</c:v>
                </c:pt>
                <c:pt idx="16">
                  <c:v>1.9717159003622763E-2</c:v>
                </c:pt>
                <c:pt idx="17">
                  <c:v>2.7701575034899072E-2</c:v>
                </c:pt>
                <c:pt idx="18">
                  <c:v>3.7393215044586051E-2</c:v>
                </c:pt>
                <c:pt idx="19">
                  <c:v>4.8496385628486821E-2</c:v>
                </c:pt>
                <c:pt idx="20">
                  <c:v>6.0430217649249697E-2</c:v>
                </c:pt>
                <c:pt idx="21">
                  <c:v>7.2348105826911785E-2</c:v>
                </c:pt>
                <c:pt idx="22">
                  <c:v>8.3220130529646524E-2</c:v>
                </c:pt>
                <c:pt idx="23">
                  <c:v>9.1972468059824689E-2</c:v>
                </c:pt>
                <c:pt idx="24">
                  <c:v>9.7659727861897638E-2</c:v>
                </c:pt>
                <c:pt idx="25">
                  <c:v>9.9632585231356277E-2</c:v>
                </c:pt>
                <c:pt idx="26">
                  <c:v>9.7659727861897638E-2</c:v>
                </c:pt>
                <c:pt idx="27">
                  <c:v>9.1972468059824689E-2</c:v>
                </c:pt>
                <c:pt idx="28">
                  <c:v>8.3220130529646524E-2</c:v>
                </c:pt>
                <c:pt idx="29">
                  <c:v>7.234810582691123E-2</c:v>
                </c:pt>
                <c:pt idx="30">
                  <c:v>6.0430217649249086E-2</c:v>
                </c:pt>
                <c:pt idx="31">
                  <c:v>4.8496385628486245E-2</c:v>
                </c:pt>
                <c:pt idx="32">
                  <c:v>3.7393215044585537E-2</c:v>
                </c:pt>
                <c:pt idx="33">
                  <c:v>2.7701575034898628E-2</c:v>
                </c:pt>
                <c:pt idx="34">
                  <c:v>1.9717159003622416E-2</c:v>
                </c:pt>
                <c:pt idx="35">
                  <c:v>1.3483804141881281E-2</c:v>
                </c:pt>
                <c:pt idx="36">
                  <c:v>8.8594906304321746E-3</c:v>
                </c:pt>
                <c:pt idx="37">
                  <c:v>5.5928515425136584E-3</c:v>
                </c:pt>
                <c:pt idx="38">
                  <c:v>3.3922359357556266E-3</c:v>
                </c:pt>
                <c:pt idx="39">
                  <c:v>1.9768195632018323E-3</c:v>
                </c:pt>
                <c:pt idx="40">
                  <c:v>1.1068180444312359E-3</c:v>
                </c:pt>
                <c:pt idx="41">
                  <c:v>5.9540661043119706E-4</c:v>
                </c:pt>
                <c:pt idx="42">
                  <c:v>3.0773670116654287E-4</c:v>
                </c:pt>
                <c:pt idx="43">
                  <c:v>1.5281752323655388E-4</c:v>
                </c:pt>
                <c:pt idx="44">
                  <c:v>7.2911366871618595E-5</c:v>
                </c:pt>
                <c:pt idx="45">
                  <c:v>3.3423008866430459E-5</c:v>
                </c:pt>
                <c:pt idx="46">
                  <c:v>1.4720551093610566E-5</c:v>
                </c:pt>
                <c:pt idx="47">
                  <c:v>6.2291790536370659E-6</c:v>
                </c:pt>
                <c:pt idx="48">
                  <c:v>2.5325952083004706E-6</c:v>
                </c:pt>
                <c:pt idx="49">
                  <c:v>9.8930218405778128E-7</c:v>
                </c:pt>
                <c:pt idx="50">
                  <c:v>3.7129608979483242E-7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2-4C1A-A6A9-26811D582A69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Ngesamt!$I$63:$I$113</c:f>
              <c:numCache>
                <c:formatCode>General</c:formatCode>
                <c:ptCount val="51"/>
                <c:pt idx="0">
                  <c:v>-2.5174119159384012</c:v>
                </c:pt>
                <c:pt idx="1">
                  <c:v>-2.3767174609867343</c:v>
                </c:pt>
                <c:pt idx="2">
                  <c:v>-2.2260386175414202</c:v>
                </c:pt>
                <c:pt idx="3">
                  <c:v>-2.0646668430118762</c:v>
                </c:pt>
                <c:pt idx="4">
                  <c:v>-1.8918433130498551</c:v>
                </c:pt>
                <c:pt idx="5">
                  <c:v>-1.7067553533021886</c:v>
                </c:pt>
                <c:pt idx="6">
                  <c:v>-1.5085326179427039</c:v>
                </c:pt>
                <c:pt idx="7">
                  <c:v>-1.2962429970134761</c:v>
                </c:pt>
                <c:pt idx="8">
                  <c:v>-1.068888233330366</c:v>
                </c:pt>
                <c:pt idx="9">
                  <c:v>-0.8253992283420577</c:v>
                </c:pt>
                <c:pt idx="10">
                  <c:v>-0.56463101486916445</c:v>
                </c:pt>
                <c:pt idx="11">
                  <c:v>-0.28535737308353415</c:v>
                </c:pt>
                <c:pt idx="12">
                  <c:v>1.3734935589722497E-2</c:v>
                </c:pt>
                <c:pt idx="13">
                  <c:v>0.33405234376161719</c:v>
                </c:pt>
                <c:pt idx="14">
                  <c:v>0.67710109159835508</c:v>
                </c:pt>
                <c:pt idx="15">
                  <c:v>1.0444943096691031</c:v>
                </c:pt>
                <c:pt idx="16">
                  <c:v>1.4379596044283725</c:v>
                </c:pt>
                <c:pt idx="17">
                  <c:v>1.8593471820025096</c:v>
                </c:pt>
                <c:pt idx="18">
                  <c:v>2.3106385484810668</c:v>
                </c:pt>
                <c:pt idx="19">
                  <c:v>2.7939558276247576</c:v>
                </c:pt>
                <c:pt idx="20">
                  <c:v>3.3115717398049869</c:v>
                </c:pt>
                <c:pt idx="21">
                  <c:v>3.8659202890992823</c:v>
                </c:pt>
                <c:pt idx="22">
                  <c:v>4.4596082087969524</c:v>
                </c:pt>
                <c:pt idx="23">
                  <c:v>5.0954272191355621</c:v>
                </c:pt>
                <c:pt idx="24">
                  <c:v>5.776367154908284</c:v>
                </c:pt>
                <c:pt idx="25">
                  <c:v>6.505630024672465</c:v>
                </c:pt>
                <c:pt idx="26">
                  <c:v>7.286645067670614</c:v>
                </c:pt>
                <c:pt idx="27">
                  <c:v>8.1230848792664734</c:v>
                </c:pt>
                <c:pt idx="28">
                  <c:v>9.0188826807233688</c:v>
                </c:pt>
                <c:pt idx="29">
                  <c:v>9.9782508145333093</c:v>
                </c:pt>
                <c:pt idx="30">
                  <c:v>11.005700552267641</c:v>
                </c:pt>
                <c:pt idx="31">
                  <c:v>12.106063308093258</c:v>
                </c:pt>
                <c:pt idx="32">
                  <c:v>13.284513357706516</c:v>
                </c:pt>
                <c:pt idx="33">
                  <c:v>14.546592169517545</c:v>
                </c:pt>
                <c:pt idx="34">
                  <c:v>15.898234462498106</c:v>
                </c:pt>
                <c:pt idx="35">
                  <c:v>17.345796113225912</c:v>
                </c:pt>
                <c:pt idx="36">
                  <c:v>18.89608404335354</c:v>
                </c:pt>
                <c:pt idx="37">
                  <c:v>20.556388228043041</c:v>
                </c:pt>
                <c:pt idx="38">
                  <c:v>22.334515975880528</c:v>
                </c:pt>
                <c:pt idx="39">
                  <c:v>24.238828641466487</c:v>
                </c:pt>
                <c:pt idx="40">
                  <c:v>26.278280943316819</c:v>
                </c:pt>
                <c:pt idx="41">
                  <c:v>28.462463071960499</c:v>
                </c:pt>
                <c:pt idx="42">
                  <c:v>30.801645786240258</c:v>
                </c:pt>
                <c:pt idx="43">
                  <c:v>33.306828709874509</c:v>
                </c:pt>
                <c:pt idx="44">
                  <c:v>35.989792055386872</c:v>
                </c:pt>
                <c:pt idx="45">
                  <c:v>38.863152018626707</c:v>
                </c:pt>
                <c:pt idx="46">
                  <c:v>41.940420104364577</c:v>
                </c:pt>
                <c:pt idx="47">
                  <c:v>45.236066661931105</c:v>
                </c:pt>
                <c:pt idx="48">
                  <c:v>48.765588929665455</c:v>
                </c:pt>
                <c:pt idx="49">
                  <c:v>52.545583908141232</c:v>
                </c:pt>
                <c:pt idx="50">
                  <c:v>56.593826404844222</c:v>
                </c:pt>
              </c:numCache>
            </c:numRef>
          </c:xVal>
          <c:yVal>
            <c:numRef>
              <c:f>Ngesamt!$J$63:$J$113</c:f>
              <c:numCache>
                <c:formatCode>General</c:formatCode>
                <c:ptCount val="51"/>
                <c:pt idx="0">
                  <c:v>2.1875337371676783E-6</c:v>
                </c:pt>
                <c:pt idx="1">
                  <c:v>5.4423698898382697E-6</c:v>
                </c:pt>
                <c:pt idx="2">
                  <c:v>1.3009169476901221E-5</c:v>
                </c:pt>
                <c:pt idx="3">
                  <c:v>2.9877159700897477E-5</c:v>
                </c:pt>
                <c:pt idx="4">
                  <c:v>6.5926081991402144E-5</c:v>
                </c:pt>
                <c:pt idx="5">
                  <c:v>1.3976661421753004E-4</c:v>
                </c:pt>
                <c:pt idx="6">
                  <c:v>2.8469369158608585E-4</c:v>
                </c:pt>
                <c:pt idx="7">
                  <c:v>5.5716068519064696E-4</c:v>
                </c:pt>
                <c:pt idx="8">
                  <c:v>1.0476381486914973E-3</c:v>
                </c:pt>
                <c:pt idx="9">
                  <c:v>1.892650247116394E-3</c:v>
                </c:pt>
                <c:pt idx="10">
                  <c:v>3.2851684845404804E-3</c:v>
                </c:pt>
                <c:pt idx="11">
                  <c:v>5.4786448780734659E-3</c:v>
                </c:pt>
                <c:pt idx="12">
                  <c:v>8.7784304816818284E-3</c:v>
                </c:pt>
                <c:pt idx="13">
                  <c:v>1.351415259542311E-2</c:v>
                </c:pt>
                <c:pt idx="14">
                  <c:v>1.9988904056121158E-2</c:v>
                </c:pt>
                <c:pt idx="15">
                  <c:v>2.8406476589250645E-2</c:v>
                </c:pt>
                <c:pt idx="16">
                  <c:v>3.8785909124247925E-2</c:v>
                </c:pt>
                <c:pt idx="17">
                  <c:v>5.0881370746909703E-2</c:v>
                </c:pt>
                <c:pt idx="18">
                  <c:v>6.4131566841424834E-2</c:v>
                </c:pt>
                <c:pt idx="19">
                  <c:v>7.7662813401733921E-2</c:v>
                </c:pt>
                <c:pt idx="20">
                  <c:v>9.0361328744164346E-2</c:v>
                </c:pt>
                <c:pt idx="21">
                  <c:v>0.10101370918931304</c:v>
                </c:pt>
                <c:pt idx="22">
                  <c:v>0.1084941319231037</c:v>
                </c:pt>
                <c:pt idx="23">
                  <c:v>0.11195935834729527</c:v>
                </c:pt>
                <c:pt idx="24">
                  <c:v>0.11100505926350075</c:v>
                </c:pt>
                <c:pt idx="25">
                  <c:v>0.10574342329262983</c:v>
                </c:pt>
                <c:pt idx="26">
                  <c:v>9.6781462281660791E-2</c:v>
                </c:pt>
                <c:pt idx="27">
                  <c:v>8.5105810885192798E-2</c:v>
                </c:pt>
                <c:pt idx="28">
                  <c:v>7.1904234835221306E-2</c:v>
                </c:pt>
                <c:pt idx="29">
                  <c:v>5.8368421020566663E-2</c:v>
                </c:pt>
                <c:pt idx="30">
                  <c:v>4.5522870740974379E-2</c:v>
                </c:pt>
                <c:pt idx="31">
                  <c:v>3.4112186608684404E-2</c:v>
                </c:pt>
                <c:pt idx="32">
                  <c:v>2.4559396848237339E-2</c:v>
                </c:pt>
                <c:pt idx="33">
                  <c:v>1.6988461704641827E-2</c:v>
                </c:pt>
                <c:pt idx="34">
                  <c:v>1.129064194375403E-2</c:v>
                </c:pt>
                <c:pt idx="35">
                  <c:v>7.2096044012555805E-3</c:v>
                </c:pt>
                <c:pt idx="36">
                  <c:v>4.423158030080491E-3</c:v>
                </c:pt>
                <c:pt idx="37">
                  <c:v>2.6072441260604606E-3</c:v>
                </c:pt>
                <c:pt idx="38">
                  <c:v>1.4765874063249896E-3</c:v>
                </c:pt>
                <c:pt idx="39">
                  <c:v>8.0346107800471087E-4</c:v>
                </c:pt>
                <c:pt idx="40">
                  <c:v>4.2004783141719832E-4</c:v>
                </c:pt>
                <c:pt idx="41">
                  <c:v>2.1098951384031453E-4</c:v>
                </c:pt>
                <c:pt idx="42">
                  <c:v>1.018242492418964E-4</c:v>
                </c:pt>
                <c:pt idx="43">
                  <c:v>4.7213889868050019E-5</c:v>
                </c:pt>
                <c:pt idx="44">
                  <c:v>2.103374329737797E-5</c:v>
                </c:pt>
                <c:pt idx="45">
                  <c:v>9.0030896919689043E-6</c:v>
                </c:pt>
                <c:pt idx="46">
                  <c:v>3.7024977638850526E-6</c:v>
                </c:pt>
                <c:pt idx="47">
                  <c:v>1.4629391212376318E-6</c:v>
                </c:pt>
                <c:pt idx="48">
                  <c:v>5.5537448478027435E-7</c:v>
                </c:pt>
                <c:pt idx="49">
                  <c:v>2.0256938690560924E-7</c:v>
                </c:pt>
                <c:pt idx="50">
                  <c:v>7.0988814680749899E-8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C2-4C1A-A6A9-26811D582A69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Ngesamt!$T$46:$T$97</c:f>
              <c:numCache>
                <c:formatCode>0.0</c:formatCode>
                <c:ptCount val="52"/>
                <c:pt idx="0">
                  <c:v>-7.5600000000000007E-3</c:v>
                </c:pt>
                <c:pt idx="1">
                  <c:v>7.5600000000000007E-3</c:v>
                </c:pt>
                <c:pt idx="2">
                  <c:v>0.74844000000000011</c:v>
                </c:pt>
                <c:pt idx="3">
                  <c:v>0.76356000000000013</c:v>
                </c:pt>
                <c:pt idx="4">
                  <c:v>1.5044400000000002</c:v>
                </c:pt>
                <c:pt idx="5">
                  <c:v>1.5195600000000002</c:v>
                </c:pt>
                <c:pt idx="6">
                  <c:v>2.2604400000000004</c:v>
                </c:pt>
                <c:pt idx="7">
                  <c:v>2.27556</c:v>
                </c:pt>
                <c:pt idx="8">
                  <c:v>3.0164400000000007</c:v>
                </c:pt>
                <c:pt idx="9">
                  <c:v>3.0315600000000003</c:v>
                </c:pt>
                <c:pt idx="10">
                  <c:v>3.7724400000000009</c:v>
                </c:pt>
                <c:pt idx="11">
                  <c:v>3.7875600000000005</c:v>
                </c:pt>
                <c:pt idx="12">
                  <c:v>4.5284400000000007</c:v>
                </c:pt>
                <c:pt idx="13">
                  <c:v>4.5435600000000003</c:v>
                </c:pt>
                <c:pt idx="14">
                  <c:v>5.2844400000000009</c:v>
                </c:pt>
                <c:pt idx="15">
                  <c:v>5.2995600000000005</c:v>
                </c:pt>
                <c:pt idx="16">
                  <c:v>6.0404400000000011</c:v>
                </c:pt>
                <c:pt idx="17">
                  <c:v>6.0555600000000007</c:v>
                </c:pt>
                <c:pt idx="18">
                  <c:v>6.7964400000000014</c:v>
                </c:pt>
                <c:pt idx="19">
                  <c:v>6.8115600000000009</c:v>
                </c:pt>
                <c:pt idx="20">
                  <c:v>7.5524400000000016</c:v>
                </c:pt>
                <c:pt idx="21">
                  <c:v>7.5675600000000012</c:v>
                </c:pt>
                <c:pt idx="22">
                  <c:v>8.3084400000000009</c:v>
                </c:pt>
                <c:pt idx="23">
                  <c:v>8.3235600000000005</c:v>
                </c:pt>
                <c:pt idx="24">
                  <c:v>9.0644400000000012</c:v>
                </c:pt>
                <c:pt idx="25">
                  <c:v>9.0795600000000007</c:v>
                </c:pt>
                <c:pt idx="26">
                  <c:v>9.8204400000000014</c:v>
                </c:pt>
                <c:pt idx="27">
                  <c:v>9.835560000000001</c:v>
                </c:pt>
                <c:pt idx="28">
                  <c:v>10.576440000000002</c:v>
                </c:pt>
                <c:pt idx="29">
                  <c:v>10.591560000000001</c:v>
                </c:pt>
                <c:pt idx="30">
                  <c:v>11.332440000000002</c:v>
                </c:pt>
                <c:pt idx="31">
                  <c:v>11.347560000000001</c:v>
                </c:pt>
                <c:pt idx="32">
                  <c:v>12.088440000000002</c:v>
                </c:pt>
                <c:pt idx="33">
                  <c:v>12.103560000000002</c:v>
                </c:pt>
                <c:pt idx="34">
                  <c:v>12.844440000000002</c:v>
                </c:pt>
                <c:pt idx="35">
                  <c:v>12.859560000000002</c:v>
                </c:pt>
                <c:pt idx="36">
                  <c:v>13.600440000000003</c:v>
                </c:pt>
                <c:pt idx="37">
                  <c:v>13.615560000000002</c:v>
                </c:pt>
                <c:pt idx="38">
                  <c:v>14.356440000000003</c:v>
                </c:pt>
                <c:pt idx="39">
                  <c:v>14.371560000000002</c:v>
                </c:pt>
                <c:pt idx="40">
                  <c:v>15.112440000000003</c:v>
                </c:pt>
                <c:pt idx="41">
                  <c:v>15.127560000000003</c:v>
                </c:pt>
                <c:pt idx="42">
                  <c:v>15.868440000000003</c:v>
                </c:pt>
                <c:pt idx="43">
                  <c:v>15.883560000000003</c:v>
                </c:pt>
                <c:pt idx="44">
                  <c:v>16.62444</c:v>
                </c:pt>
                <c:pt idx="45">
                  <c:v>16.639560000000003</c:v>
                </c:pt>
                <c:pt idx="46">
                  <c:v>17.38044</c:v>
                </c:pt>
                <c:pt idx="47">
                  <c:v>17.395560000000003</c:v>
                </c:pt>
                <c:pt idx="48">
                  <c:v>18.13644</c:v>
                </c:pt>
                <c:pt idx="49">
                  <c:v>18.151560000000003</c:v>
                </c:pt>
                <c:pt idx="50">
                  <c:v>18.892440000000001</c:v>
                </c:pt>
                <c:pt idx="51">
                  <c:v>18.907560000000004</c:v>
                </c:pt>
              </c:numCache>
            </c:numRef>
          </c:xVal>
          <c:yVal>
            <c:numRef>
              <c:f>Ngesamt!$U$46:$U$97</c:f>
              <c:numCache>
                <c:formatCode>0.0000</c:formatCode>
                <c:ptCount val="52"/>
                <c:pt idx="0">
                  <c:v>0</c:v>
                </c:pt>
                <c:pt idx="1">
                  <c:v>0.11337868480725621</c:v>
                </c:pt>
                <c:pt idx="2">
                  <c:v>0.11337868480725621</c:v>
                </c:pt>
                <c:pt idx="3">
                  <c:v>0.11337868480725621</c:v>
                </c:pt>
                <c:pt idx="4">
                  <c:v>0.11337868480725621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0.18896447467876037</c:v>
                </c:pt>
                <c:pt idx="14">
                  <c:v>0.18896447467876037</c:v>
                </c:pt>
                <c:pt idx="15">
                  <c:v>0.22675736961451243</c:v>
                </c:pt>
                <c:pt idx="16">
                  <c:v>0.22675736961451243</c:v>
                </c:pt>
                <c:pt idx="17">
                  <c:v>0.11337868480725621</c:v>
                </c:pt>
                <c:pt idx="18">
                  <c:v>0.11337868480725621</c:v>
                </c:pt>
                <c:pt idx="19">
                  <c:v>0.18896447467876037</c:v>
                </c:pt>
                <c:pt idx="20">
                  <c:v>0.18896447467876037</c:v>
                </c:pt>
                <c:pt idx="21">
                  <c:v>3.7792894935752074E-2</c:v>
                </c:pt>
                <c:pt idx="22">
                  <c:v>3.7792894935752074E-2</c:v>
                </c:pt>
                <c:pt idx="23">
                  <c:v>7.5585789871504147E-2</c:v>
                </c:pt>
                <c:pt idx="24">
                  <c:v>7.5585789871504147E-2</c:v>
                </c:pt>
                <c:pt idx="25">
                  <c:v>3.7792894935752074E-2</c:v>
                </c:pt>
                <c:pt idx="26">
                  <c:v>3.7792894935752074E-2</c:v>
                </c:pt>
                <c:pt idx="27">
                  <c:v>7.5585789871504147E-2</c:v>
                </c:pt>
                <c:pt idx="28">
                  <c:v>7.5585789871504147E-2</c:v>
                </c:pt>
                <c:pt idx="29">
                  <c:v>3.7792894935752074E-2</c:v>
                </c:pt>
                <c:pt idx="30">
                  <c:v>3.7792894935752074E-2</c:v>
                </c:pt>
                <c:pt idx="31">
                  <c:v>7.5585789871504147E-2</c:v>
                </c:pt>
                <c:pt idx="32">
                  <c:v>7.5585789871504147E-2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3.7792894935752074E-2</c:v>
                </c:pt>
                <c:pt idx="38">
                  <c:v>3.7792894935752074E-2</c:v>
                </c:pt>
                <c:pt idx="39">
                  <c:v>3.7792894935752074E-2</c:v>
                </c:pt>
                <c:pt idx="40">
                  <c:v>3.7792894935752074E-2</c:v>
                </c:pt>
                <c:pt idx="41">
                  <c:v>3.7792894935752074E-2</c:v>
                </c:pt>
                <c:pt idx="42">
                  <c:v>3.7792894935752074E-2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3.7792894935752074E-2</c:v>
                </c:pt>
                <c:pt idx="50">
                  <c:v>3.7792894935752074E-2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C2-4C1A-A6A9-26811D582A69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Ngesamt!$U$3:$V$3</c:f>
              <c:numCache>
                <c:formatCode>0.000</c:formatCode>
                <c:ptCount val="2"/>
                <c:pt idx="0">
                  <c:v>14.767388148924354</c:v>
                </c:pt>
                <c:pt idx="1">
                  <c:v>14.767388148924354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C2-4C1A-A6A9-26811D582A69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Ngesamt!$U$4:$V$4</c:f>
              <c:numCache>
                <c:formatCode>0.000</c:formatCode>
                <c:ptCount val="2"/>
                <c:pt idx="0">
                  <c:v>14.841712917794414</c:v>
                </c:pt>
                <c:pt idx="1">
                  <c:v>14.841712917794414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C2-4C1A-A6A9-26811D582A69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Ngesamt!$U$5:$V$5</c:f>
              <c:numCache>
                <c:formatCode>0.000</c:formatCode>
                <c:ptCount val="2"/>
                <c:pt idx="0">
                  <c:v>16.234438552568697</c:v>
                </c:pt>
                <c:pt idx="1">
                  <c:v>16.234438552568697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C2-4C1A-A6A9-26811D582A69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Ngesamt!$U$6:$V$6</c:f>
              <c:numCache>
                <c:formatCode>0.000</c:formatCode>
                <c:ptCount val="2"/>
                <c:pt idx="0">
                  <c:v>17.75203963730965</c:v>
                </c:pt>
                <c:pt idx="1">
                  <c:v>17.75203963730965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C2-4C1A-A6A9-26811D582A69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Ngesamt!$U$7:$V$7</c:f>
              <c:numCache>
                <c:formatCode>0.000</c:formatCode>
                <c:ptCount val="2"/>
                <c:pt idx="0">
                  <c:v>-0.92853100606721384</c:v>
                </c:pt>
                <c:pt idx="1">
                  <c:v>-0.92853100606721384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C2-4C1A-A6A9-26811D582A69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Ngesamt!$U$8:$V$8</c:f>
              <c:numCache>
                <c:formatCode>0.000</c:formatCode>
                <c:ptCount val="2"/>
                <c:pt idx="0">
                  <c:v>1.7265297960997441</c:v>
                </c:pt>
                <c:pt idx="1">
                  <c:v>1.7265297960997441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C2-4C1A-A6A9-26811D582A69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Ngesamt!$U$11:$V$11</c:f>
              <c:numCache>
                <c:formatCode>0.000</c:formatCode>
                <c:ptCount val="2"/>
                <c:pt idx="0">
                  <c:v>6.4</c:v>
                </c:pt>
                <c:pt idx="1">
                  <c:v>6.4</c:v>
                </c:pt>
              </c:numCache>
            </c:numRef>
          </c:xVal>
          <c:yVal>
            <c:numRef>
              <c:f>Ngesamt!$U$2:$V$2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EC2-4C1A-A6A9-26811D582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45344"/>
        <c:axId val="145946880"/>
      </c:scatterChart>
      <c:valAx>
        <c:axId val="145945344"/>
        <c:scaling>
          <c:orientation val="minMax"/>
          <c:max val="5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946880"/>
        <c:crosses val="autoZero"/>
        <c:crossBetween val="midCat"/>
        <c:majorUnit val="10"/>
        <c:minorUnit val="5"/>
      </c:valAx>
      <c:valAx>
        <c:axId val="145946880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945344"/>
        <c:crosses val="autoZero"/>
        <c:crossBetween val="midCat"/>
        <c:majorUnit val="0.1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Ngesamt!$M$3:$M$252</c:f>
              <c:numCache>
                <c:formatCode>d/m/yyyy;@</c:formatCode>
                <c:ptCount val="250"/>
                <c:pt idx="0">
                  <c:v>37540</c:v>
                </c:pt>
                <c:pt idx="1">
                  <c:v>37677</c:v>
                </c:pt>
                <c:pt idx="2">
                  <c:v>37852</c:v>
                </c:pt>
                <c:pt idx="3">
                  <c:v>38264</c:v>
                </c:pt>
                <c:pt idx="4">
                  <c:v>38421</c:v>
                </c:pt>
                <c:pt idx="5">
                  <c:v>38631</c:v>
                </c:pt>
                <c:pt idx="6">
                  <c:v>38747</c:v>
                </c:pt>
                <c:pt idx="7">
                  <c:v>38944</c:v>
                </c:pt>
                <c:pt idx="8">
                  <c:v>39318</c:v>
                </c:pt>
                <c:pt idx="9">
                  <c:v>39492</c:v>
                </c:pt>
                <c:pt idx="10">
                  <c:v>39723</c:v>
                </c:pt>
                <c:pt idx="11">
                  <c:v>39842</c:v>
                </c:pt>
                <c:pt idx="12">
                  <c:v>40198</c:v>
                </c:pt>
                <c:pt idx="13">
                  <c:v>40329</c:v>
                </c:pt>
                <c:pt idx="14">
                  <c:v>40409</c:v>
                </c:pt>
                <c:pt idx="15">
                  <c:v>40487</c:v>
                </c:pt>
                <c:pt idx="16">
                  <c:v>40639</c:v>
                </c:pt>
                <c:pt idx="17">
                  <c:v>40744</c:v>
                </c:pt>
                <c:pt idx="18">
                  <c:v>40799</c:v>
                </c:pt>
                <c:pt idx="19">
                  <c:v>40898</c:v>
                </c:pt>
                <c:pt idx="20">
                  <c:v>40977</c:v>
                </c:pt>
                <c:pt idx="21">
                  <c:v>41086</c:v>
                </c:pt>
                <c:pt idx="22">
                  <c:v>41164</c:v>
                </c:pt>
                <c:pt idx="23">
                  <c:v>41248</c:v>
                </c:pt>
                <c:pt idx="24">
                  <c:v>41338</c:v>
                </c:pt>
                <c:pt idx="25">
                  <c:v>41429</c:v>
                </c:pt>
                <c:pt idx="26">
                  <c:v>41516</c:v>
                </c:pt>
                <c:pt idx="27">
                  <c:v>41617</c:v>
                </c:pt>
                <c:pt idx="28">
                  <c:v>41696</c:v>
                </c:pt>
                <c:pt idx="29">
                  <c:v>41813</c:v>
                </c:pt>
                <c:pt idx="30">
                  <c:v>41886</c:v>
                </c:pt>
                <c:pt idx="31">
                  <c:v>41975</c:v>
                </c:pt>
                <c:pt idx="32">
                  <c:v>42046</c:v>
                </c:pt>
                <c:pt idx="33">
                  <c:v>42156</c:v>
                </c:pt>
                <c:pt idx="34">
                  <c:v>42254</c:v>
                </c:pt>
              </c:numCache>
            </c:numRef>
          </c:xVal>
          <c:yVal>
            <c:numRef>
              <c:f>Ngesamt!$N$3:$N$252</c:f>
              <c:numCache>
                <c:formatCode>General</c:formatCode>
                <c:ptCount val="250"/>
                <c:pt idx="0">
                  <c:v>0.02</c:v>
                </c:pt>
                <c:pt idx="1">
                  <c:v>4.71</c:v>
                </c:pt>
                <c:pt idx="2">
                  <c:v>14.03</c:v>
                </c:pt>
                <c:pt idx="3">
                  <c:v>14.48</c:v>
                </c:pt>
                <c:pt idx="4">
                  <c:v>3.83</c:v>
                </c:pt>
                <c:pt idx="5">
                  <c:v>11.17</c:v>
                </c:pt>
                <c:pt idx="6">
                  <c:v>6.72</c:v>
                </c:pt>
                <c:pt idx="7">
                  <c:v>0.02</c:v>
                </c:pt>
                <c:pt idx="8">
                  <c:v>13</c:v>
                </c:pt>
                <c:pt idx="9">
                  <c:v>9.4</c:v>
                </c:pt>
                <c:pt idx="10">
                  <c:v>18</c:v>
                </c:pt>
                <c:pt idx="11">
                  <c:v>11</c:v>
                </c:pt>
                <c:pt idx="12">
                  <c:v>0</c:v>
                </c:pt>
                <c:pt idx="13">
                  <c:v>4</c:v>
                </c:pt>
                <c:pt idx="14">
                  <c:v>6.8</c:v>
                </c:pt>
                <c:pt idx="15">
                  <c:v>5.5</c:v>
                </c:pt>
                <c:pt idx="16">
                  <c:v>3.9</c:v>
                </c:pt>
                <c:pt idx="17">
                  <c:v>6.9</c:v>
                </c:pt>
                <c:pt idx="18">
                  <c:v>6.4</c:v>
                </c:pt>
                <c:pt idx="19">
                  <c:v>5.2</c:v>
                </c:pt>
                <c:pt idx="20">
                  <c:v>4.0999999999999996</c:v>
                </c:pt>
                <c:pt idx="21">
                  <c:v>5</c:v>
                </c:pt>
                <c:pt idx="22">
                  <c:v>8.3000000000000007</c:v>
                </c:pt>
                <c:pt idx="23">
                  <c:v>8.3000000000000007</c:v>
                </c:pt>
                <c:pt idx="24">
                  <c:v>4.7</c:v>
                </c:pt>
                <c:pt idx="25">
                  <c:v>5.5</c:v>
                </c:pt>
                <c:pt idx="26">
                  <c:v>9.5</c:v>
                </c:pt>
                <c:pt idx="27">
                  <c:v>8.4</c:v>
                </c:pt>
                <c:pt idx="28">
                  <c:v>5.6</c:v>
                </c:pt>
                <c:pt idx="29">
                  <c:v>6.6</c:v>
                </c:pt>
                <c:pt idx="30">
                  <c:v>4.2</c:v>
                </c:pt>
                <c:pt idx="31">
                  <c:v>5.2</c:v>
                </c:pt>
                <c:pt idx="32">
                  <c:v>5.0999999999999996</c:v>
                </c:pt>
                <c:pt idx="33">
                  <c:v>6.6</c:v>
                </c:pt>
                <c:pt idx="3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EB-4D46-8E5E-60C87141958E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Ngesamt!$E$57:$E$58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Ngesamt!$F$57:$F$58</c:f>
              <c:numCache>
                <c:formatCode>0.000</c:formatCode>
                <c:ptCount val="2"/>
                <c:pt idx="0">
                  <c:v>14.767388148924354</c:v>
                </c:pt>
                <c:pt idx="1">
                  <c:v>14.767388148924354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EB-4D46-8E5E-60C87141958E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Ngesamt!$E$57:$E$58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Ngesamt!$J$57:$J$58</c:f>
              <c:numCache>
                <c:formatCode>0.000</c:formatCode>
                <c:ptCount val="2"/>
                <c:pt idx="0">
                  <c:v>14.841712917794414</c:v>
                </c:pt>
                <c:pt idx="1">
                  <c:v>14.841712917794414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EB-4D46-8E5E-60C87141958E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Ngesamt!$G$122:$G$123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42254</c:v>
                </c:pt>
              </c:numCache>
            </c:numRef>
          </c:xVal>
          <c:yVal>
            <c:numRef>
              <c:f>Ngesamt!$I$122:$I$123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EB-4D46-8E5E-60C87141958E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Ngesamt!$G$122:$G$123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42254</c:v>
                </c:pt>
              </c:numCache>
            </c:numRef>
          </c:xVal>
          <c:yVal>
            <c:numRef>
              <c:f>Ngesamt!$J$122:$J$123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2EB-4D46-8E5E-60C87141958E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Ngesamt!$E$57:$E$58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Ngesamt!$G$57:$G$58</c:f>
              <c:numCache>
                <c:formatCode>0.000</c:formatCode>
                <c:ptCount val="2"/>
                <c:pt idx="0">
                  <c:v>-0.92853100606721384</c:v>
                </c:pt>
                <c:pt idx="1">
                  <c:v>-0.92853100606721384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2EB-4D46-8E5E-60C87141958E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Ngesamt!$E$57:$E$58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Ngesamt!$H$57:$H$58</c:f>
              <c:numCache>
                <c:formatCode>0.000</c:formatCode>
                <c:ptCount val="2"/>
                <c:pt idx="0">
                  <c:v>16.234438552568697</c:v>
                </c:pt>
                <c:pt idx="1">
                  <c:v>16.234438552568697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2EB-4D46-8E5E-60C87141958E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Ngesamt!$E$57:$E$58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Ngesamt!$K$57:$K$58</c:f>
              <c:numCache>
                <c:formatCode>0.000</c:formatCode>
                <c:ptCount val="2"/>
                <c:pt idx="0">
                  <c:v>17.75203963730965</c:v>
                </c:pt>
                <c:pt idx="1">
                  <c:v>17.75203963730965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2EB-4D46-8E5E-60C871419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00192"/>
        <c:axId val="145801984"/>
      </c:scatterChart>
      <c:valAx>
        <c:axId val="14580019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45801984"/>
        <c:crossesAt val="0"/>
        <c:crossBetween val="midCat"/>
        <c:majorUnit val="1461"/>
        <c:minorUnit val="365.25"/>
      </c:valAx>
      <c:valAx>
        <c:axId val="145801984"/>
        <c:scaling>
          <c:orientation val="minMax"/>
          <c:max val="5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45800192"/>
        <c:crossesAt val="0"/>
        <c:crossBetween val="midCat"/>
        <c:majorUnit val="1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Nitrat!$F$63:$F$113</c:f>
              <c:numCache>
                <c:formatCode>General</c:formatCode>
                <c:ptCount val="51"/>
                <c:pt idx="0">
                  <c:v>-15.471225054169512</c:v>
                </c:pt>
                <c:pt idx="1">
                  <c:v>-13.698090337717016</c:v>
                </c:pt>
                <c:pt idx="2">
                  <c:v>-11.92495562126452</c:v>
                </c:pt>
                <c:pt idx="3">
                  <c:v>-10.15182090481203</c:v>
                </c:pt>
                <c:pt idx="4">
                  <c:v>-8.3786861883595343</c:v>
                </c:pt>
                <c:pt idx="5">
                  <c:v>-6.6055514719070381</c:v>
                </c:pt>
                <c:pt idx="6">
                  <c:v>-4.8324167554545419</c:v>
                </c:pt>
                <c:pt idx="7">
                  <c:v>-3.0592820390020492</c:v>
                </c:pt>
                <c:pt idx="8">
                  <c:v>-1.286147322549553</c:v>
                </c:pt>
                <c:pt idx="9">
                  <c:v>0.48698739390293966</c:v>
                </c:pt>
                <c:pt idx="10">
                  <c:v>2.2601221103554359</c:v>
                </c:pt>
                <c:pt idx="11">
                  <c:v>4.0332568268079321</c:v>
                </c:pt>
                <c:pt idx="12">
                  <c:v>5.8063915432604247</c:v>
                </c:pt>
                <c:pt idx="13">
                  <c:v>7.5795262597129209</c:v>
                </c:pt>
                <c:pt idx="14">
                  <c:v>9.3526609761654136</c:v>
                </c:pt>
                <c:pt idx="15">
                  <c:v>11.12579569261791</c:v>
                </c:pt>
                <c:pt idx="16">
                  <c:v>12.898930409070404</c:v>
                </c:pt>
                <c:pt idx="17">
                  <c:v>14.672065125522899</c:v>
                </c:pt>
                <c:pt idx="18">
                  <c:v>16.445199841975395</c:v>
                </c:pt>
                <c:pt idx="19">
                  <c:v>18.218334558427891</c:v>
                </c:pt>
                <c:pt idx="20">
                  <c:v>19.991469274880384</c:v>
                </c:pt>
                <c:pt idx="21">
                  <c:v>21.764603991332876</c:v>
                </c:pt>
                <c:pt idx="22">
                  <c:v>23.537738707785373</c:v>
                </c:pt>
                <c:pt idx="23">
                  <c:v>25.310873424237869</c:v>
                </c:pt>
                <c:pt idx="24">
                  <c:v>27.084008140690361</c:v>
                </c:pt>
                <c:pt idx="25">
                  <c:v>28.857142857142858</c:v>
                </c:pt>
                <c:pt idx="26">
                  <c:v>30.630277573595354</c:v>
                </c:pt>
                <c:pt idx="27">
                  <c:v>32.403412290047847</c:v>
                </c:pt>
                <c:pt idx="28">
                  <c:v>34.176547006500343</c:v>
                </c:pt>
                <c:pt idx="29">
                  <c:v>35.949681722952924</c:v>
                </c:pt>
                <c:pt idx="30">
                  <c:v>37.72281643940542</c:v>
                </c:pt>
                <c:pt idx="31">
                  <c:v>39.495951155857917</c:v>
                </c:pt>
                <c:pt idx="32">
                  <c:v>41.269085872310413</c:v>
                </c:pt>
                <c:pt idx="33">
                  <c:v>43.042220588762902</c:v>
                </c:pt>
                <c:pt idx="34">
                  <c:v>44.815355305215398</c:v>
                </c:pt>
                <c:pt idx="35">
                  <c:v>46.588490021667894</c:v>
                </c:pt>
                <c:pt idx="36">
                  <c:v>48.361624738120383</c:v>
                </c:pt>
                <c:pt idx="37">
                  <c:v>50.134759454572887</c:v>
                </c:pt>
                <c:pt idx="38">
                  <c:v>51.907894171025376</c:v>
                </c:pt>
                <c:pt idx="39">
                  <c:v>53.681028887477872</c:v>
                </c:pt>
                <c:pt idx="40">
                  <c:v>55.454163603930368</c:v>
                </c:pt>
                <c:pt idx="41">
                  <c:v>57.227298320382857</c:v>
                </c:pt>
                <c:pt idx="42">
                  <c:v>59.000433036835361</c:v>
                </c:pt>
                <c:pt idx="43">
                  <c:v>60.77356775328785</c:v>
                </c:pt>
                <c:pt idx="44">
                  <c:v>62.546702469740353</c:v>
                </c:pt>
                <c:pt idx="45">
                  <c:v>64.319837186192842</c:v>
                </c:pt>
                <c:pt idx="46">
                  <c:v>66.092971902645331</c:v>
                </c:pt>
                <c:pt idx="47">
                  <c:v>67.866106619097835</c:v>
                </c:pt>
                <c:pt idx="48">
                  <c:v>69.639241335550324</c:v>
                </c:pt>
                <c:pt idx="49">
                  <c:v>71.412376052002813</c:v>
                </c:pt>
                <c:pt idx="50">
                  <c:v>73.185510768455231</c:v>
                </c:pt>
              </c:numCache>
            </c:numRef>
          </c:xVal>
          <c:yVal>
            <c:numRef>
              <c:f>Nitrat!$G$63:$G$113</c:f>
              <c:numCache>
                <c:formatCode>General</c:formatCode>
                <c:ptCount val="51"/>
                <c:pt idx="0">
                  <c:v>1.6769391529469041E-7</c:v>
                </c:pt>
                <c:pt idx="1">
                  <c:v>4.4681309934052104E-7</c:v>
                </c:pt>
                <c:pt idx="2">
                  <c:v>1.1438332317778461E-6</c:v>
                </c:pt>
                <c:pt idx="3">
                  <c:v>2.8133757755254899E-6</c:v>
                </c:pt>
                <c:pt idx="4">
                  <c:v>6.648459049345902E-6</c:v>
                </c:pt>
                <c:pt idx="5">
                  <c:v>1.5095325191380731E-5</c:v>
                </c:pt>
                <c:pt idx="6">
                  <c:v>3.2930033243673397E-5</c:v>
                </c:pt>
                <c:pt idx="7">
                  <c:v>6.9019226168895079E-5</c:v>
                </c:pt>
                <c:pt idx="8">
                  <c:v>1.3898765356512978E-4</c:v>
                </c:pt>
                <c:pt idx="9">
                  <c:v>2.6891224669433787E-4</c:v>
                </c:pt>
                <c:pt idx="10">
                  <c:v>4.9988851617600643E-4</c:v>
                </c:pt>
                <c:pt idx="11">
                  <c:v>8.9282010098097771E-4</c:v>
                </c:pt>
                <c:pt idx="12">
                  <c:v>1.5320854199799346E-3</c:v>
                </c:pt>
                <c:pt idx="13">
                  <c:v>2.5259818204504585E-3</c:v>
                </c:pt>
                <c:pt idx="14">
                  <c:v>4.0013420883445719E-3</c:v>
                </c:pt>
                <c:pt idx="15">
                  <c:v>6.0898888293392196E-3</c:v>
                </c:pt>
                <c:pt idx="16">
                  <c:v>8.9051505865103686E-3</c:v>
                </c:pt>
                <c:pt idx="17">
                  <c:v>1.2511269860123716E-2</c:v>
                </c:pt>
                <c:pt idx="18">
                  <c:v>1.688844781464819E-2</c:v>
                </c:pt>
                <c:pt idx="19">
                  <c:v>2.1903136087902047E-2</c:v>
                </c:pt>
                <c:pt idx="20">
                  <c:v>2.7292988206023449E-2</c:v>
                </c:pt>
                <c:pt idx="21">
                  <c:v>3.2675639371730049E-2</c:v>
                </c:pt>
                <c:pt idx="22">
                  <c:v>3.7585931830208717E-2</c:v>
                </c:pt>
                <c:pt idx="23">
                  <c:v>4.1538878787520474E-2</c:v>
                </c:pt>
                <c:pt idx="24">
                  <c:v>4.4107499599107036E-2</c:v>
                </c:pt>
                <c:pt idx="25">
                  <c:v>4.4998530196238597E-2</c:v>
                </c:pt>
                <c:pt idx="26">
                  <c:v>4.4107499599107036E-2</c:v>
                </c:pt>
                <c:pt idx="27">
                  <c:v>4.1538878787520474E-2</c:v>
                </c:pt>
                <c:pt idx="28">
                  <c:v>3.7585931830208717E-2</c:v>
                </c:pt>
                <c:pt idx="29">
                  <c:v>3.2675639371729806E-2</c:v>
                </c:pt>
                <c:pt idx="30">
                  <c:v>2.7292988206023171E-2</c:v>
                </c:pt>
                <c:pt idx="31">
                  <c:v>2.1903136087901773E-2</c:v>
                </c:pt>
                <c:pt idx="32">
                  <c:v>1.6888447814647944E-2</c:v>
                </c:pt>
                <c:pt idx="33">
                  <c:v>1.2511269860123525E-2</c:v>
                </c:pt>
                <c:pt idx="34">
                  <c:v>8.9051505865102125E-3</c:v>
                </c:pt>
                <c:pt idx="35">
                  <c:v>6.0898888293390938E-3</c:v>
                </c:pt>
                <c:pt idx="36">
                  <c:v>4.0013420883444895E-3</c:v>
                </c:pt>
                <c:pt idx="37">
                  <c:v>2.5259818204503969E-3</c:v>
                </c:pt>
                <c:pt idx="38">
                  <c:v>1.532085419979896E-3</c:v>
                </c:pt>
                <c:pt idx="39">
                  <c:v>8.9282010098095223E-4</c:v>
                </c:pt>
                <c:pt idx="40">
                  <c:v>4.9988851617599136E-4</c:v>
                </c:pt>
                <c:pt idx="41">
                  <c:v>2.6891224669433001E-4</c:v>
                </c:pt>
                <c:pt idx="42">
                  <c:v>1.3898765356512496E-4</c:v>
                </c:pt>
                <c:pt idx="43">
                  <c:v>6.9019226168892694E-5</c:v>
                </c:pt>
                <c:pt idx="44">
                  <c:v>3.2930033243672082E-5</c:v>
                </c:pt>
                <c:pt idx="45">
                  <c:v>1.5095325191380141E-5</c:v>
                </c:pt>
                <c:pt idx="46">
                  <c:v>6.6484590493456546E-6</c:v>
                </c:pt>
                <c:pt idx="47">
                  <c:v>2.8133757755253696E-6</c:v>
                </c:pt>
                <c:pt idx="48">
                  <c:v>1.1438332317777953E-6</c:v>
                </c:pt>
                <c:pt idx="49">
                  <c:v>4.4681309934050193E-7</c:v>
                </c:pt>
                <c:pt idx="50">
                  <c:v>1.6769391529469041E-7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2-4E73-9A02-C0DEA42C131F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Nitrat!$I$63:$I$113</c:f>
              <c:numCache>
                <c:formatCode>General</c:formatCode>
                <c:ptCount val="51"/>
                <c:pt idx="0">
                  <c:v>6.1198720581287587</c:v>
                </c:pt>
                <c:pt idx="1">
                  <c:v>6.5001423693047062</c:v>
                </c:pt>
                <c:pt idx="2">
                  <c:v>6.9040415256898866</c:v>
                </c:pt>
                <c:pt idx="3">
                  <c:v>7.3330377521483348</c:v>
                </c:pt>
                <c:pt idx="4">
                  <c:v>7.7886905045895416</c:v>
                </c:pt>
                <c:pt idx="5">
                  <c:v>8.2726561387892588</c:v>
                </c:pt>
                <c:pt idx="6">
                  <c:v>8.7866939314536499</c:v>
                </c:pt>
                <c:pt idx="7">
                  <c:v>9.3326724754141459</c:v>
                </c:pt>
                <c:pt idx="8">
                  <c:v>9.9125764722003211</c:v>
                </c:pt>
                <c:pt idx="9">
                  <c:v>10.528513946682681</c:v>
                </c:pt>
                <c:pt idx="10">
                  <c:v>11.182723910011473</c:v>
                </c:pt>
                <c:pt idx="11">
                  <c:v>11.877584498707339</c:v>
                </c:pt>
                <c:pt idx="12">
                  <c:v>12.615621619490399</c:v>
                </c:pt>
                <c:pt idx="13">
                  <c:v>13.399518131272783</c:v>
                </c:pt>
                <c:pt idx="14">
                  <c:v>14.232123597692421</c:v>
                </c:pt>
                <c:pt idx="15">
                  <c:v>15.116464645639724</c:v>
                </c:pt>
                <c:pt idx="16">
                  <c:v>16.055755967431711</c:v>
                </c:pt>
                <c:pt idx="17">
                  <c:v>17.053412006627926</c:v>
                </c:pt>
                <c:pt idx="18">
                  <c:v>18.113059369967552</c:v>
                </c:pt>
                <c:pt idx="19">
                  <c:v>19.238550010546732</c:v>
                </c:pt>
                <c:pt idx="20">
                  <c:v>20.433975230158509</c:v>
                </c:pt>
                <c:pt idx="21">
                  <c:v>21.703680551695886</c:v>
                </c:pt>
                <c:pt idx="22">
                  <c:v>23.052281515680782</c:v>
                </c:pt>
                <c:pt idx="23">
                  <c:v>24.484680458341654</c:v>
                </c:pt>
                <c:pt idx="24">
                  <c:v>26.006084332229836</c:v>
                </c:pt>
                <c:pt idx="25">
                  <c:v>27.622023634155173</c:v>
                </c:pt>
                <c:pt idx="26">
                  <c:v>29.338372509246078</c:v>
                </c:pt>
                <c:pt idx="27">
                  <c:v>31.161370104215084</c:v>
                </c:pt>
                <c:pt idx="28">
                  <c:v>33.097643247451671</c:v>
                </c:pt>
                <c:pt idx="29">
                  <c:v>35.154230538387274</c:v>
                </c:pt>
                <c:pt idx="30">
                  <c:v>37.338607933700175</c:v>
                </c:pt>
                <c:pt idx="31">
                  <c:v>39.658715923370501</c:v>
                </c:pt>
                <c:pt idx="32">
                  <c:v>42.122988395372118</c:v>
                </c:pt>
                <c:pt idx="33">
                  <c:v>44.740383293929298</c:v>
                </c:pt>
                <c:pt idx="34">
                  <c:v>47.520415182784788</c:v>
                </c:pt>
                <c:pt idx="35">
                  <c:v>50.473189831850405</c:v>
                </c:pt>
                <c:pt idx="36">
                  <c:v>53.609440952967645</c:v>
                </c:pt>
                <c:pt idx="37">
                  <c:v>56.94056921831686</c:v>
                </c:pt>
                <c:pt idx="38">
                  <c:v>60.478683703312385</c:v>
                </c:pt>
                <c:pt idx="39">
                  <c:v>64.236645904633647</c:v>
                </c:pt>
                <c:pt idx="40">
                  <c:v>68.228116493403334</c:v>
                </c:pt>
                <c:pt idx="41">
                  <c:v>72.467604973466138</c:v>
                </c:pt>
                <c:pt idx="42">
                  <c:v>76.97052242528315</c:v>
                </c:pt>
                <c:pt idx="43">
                  <c:v>81.753237527171578</c:v>
                </c:pt>
                <c:pt idx="44">
                  <c:v>86.833136057534745</c:v>
                </c:pt>
                <c:pt idx="45">
                  <c:v>92.228684094380171</c:v>
                </c:pt>
                <c:pt idx="46">
                  <c:v>97.959495141864963</c:v>
                </c:pt>
                <c:pt idx="47">
                  <c:v>104.0464014278806</c:v>
                </c:pt>
                <c:pt idx="48">
                  <c:v>110.51152963185416</c:v>
                </c:pt>
                <c:pt idx="49">
                  <c:v>117.37838131804517</c:v>
                </c:pt>
                <c:pt idx="50">
                  <c:v>124.67191836672451</c:v>
                </c:pt>
              </c:numCache>
            </c:numRef>
          </c:xVal>
          <c:yVal>
            <c:numRef>
              <c:f>Nitrat!$J$63:$J$113</c:f>
              <c:numCache>
                <c:formatCode>General</c:formatCode>
                <c:ptCount val="51"/>
                <c:pt idx="0">
                  <c:v>8.0597698126909933E-7</c:v>
                </c:pt>
                <c:pt idx="1">
                  <c:v>2.0218582515232312E-6</c:v>
                </c:pt>
                <c:pt idx="2">
                  <c:v>4.8731187190064008E-6</c:v>
                </c:pt>
                <c:pt idx="3">
                  <c:v>1.1284738496246649E-5</c:v>
                </c:pt>
                <c:pt idx="4">
                  <c:v>2.5107543741568622E-5</c:v>
                </c:pt>
                <c:pt idx="5">
                  <c:v>5.3671678469947055E-5</c:v>
                </c:pt>
                <c:pt idx="6">
                  <c:v>1.1023369042538604E-4</c:v>
                </c:pt>
                <c:pt idx="7">
                  <c:v>2.1752628240538673E-4</c:v>
                </c:pt>
                <c:pt idx="8">
                  <c:v>4.1241775043698934E-4</c:v>
                </c:pt>
                <c:pt idx="9">
                  <c:v>7.5126158308972942E-4</c:v>
                </c:pt>
                <c:pt idx="10">
                  <c:v>1.314840987559652E-3</c:v>
                </c:pt>
                <c:pt idx="11">
                  <c:v>2.2109733478256522E-3</c:v>
                </c:pt>
                <c:pt idx="12">
                  <c:v>3.5720867848480688E-3</c:v>
                </c:pt>
                <c:pt idx="13">
                  <c:v>5.5448361417181008E-3</c:v>
                </c:pt>
                <c:pt idx="14">
                  <c:v>8.2695837965295876E-3</c:v>
                </c:pt>
                <c:pt idx="15">
                  <c:v>1.1849685083640198E-2</c:v>
                </c:pt>
                <c:pt idx="16">
                  <c:v>1.6313914649762163E-2</c:v>
                </c:pt>
                <c:pt idx="17">
                  <c:v>2.1579321415847449E-2</c:v>
                </c:pt>
                <c:pt idx="18">
                  <c:v>2.7424934708421125E-2</c:v>
                </c:pt>
                <c:pt idx="19">
                  <c:v>3.3487416338119538E-2</c:v>
                </c:pt>
                <c:pt idx="20">
                  <c:v>3.9286731763300962E-2</c:v>
                </c:pt>
                <c:pt idx="21">
                  <c:v>4.4283137393618673E-2</c:v>
                </c:pt>
                <c:pt idx="22">
                  <c:v>4.7957781413326815E-2</c:v>
                </c:pt>
                <c:pt idx="23">
                  <c:v>4.9900857207847302E-2</c:v>
                </c:pt>
                <c:pt idx="24">
                  <c:v>4.9886742807711958E-2</c:v>
                </c:pt>
                <c:pt idx="25">
                  <c:v>4.7917098512471577E-2</c:v>
                </c:pt>
                <c:pt idx="26">
                  <c:v>4.4220545638949497E-2</c:v>
                </c:pt>
                <c:pt idx="27">
                  <c:v>3.9209012288140915E-2</c:v>
                </c:pt>
                <c:pt idx="28">
                  <c:v>3.3402265827268927E-2</c:v>
                </c:pt>
                <c:pt idx="29">
                  <c:v>2.733972705698829E-2</c:v>
                </c:pt>
                <c:pt idx="30">
                  <c:v>2.1500108015559082E-2</c:v>
                </c:pt>
                <c:pt idx="31">
                  <c:v>1.6244835944505567E-2</c:v>
                </c:pt>
                <c:pt idx="32">
                  <c:v>1.1792835444830032E-2</c:v>
                </c:pt>
                <c:pt idx="33">
                  <c:v>8.2252549449620613E-3</c:v>
                </c:pt>
                <c:pt idx="34">
                  <c:v>5.5119937711523995E-3</c:v>
                </c:pt>
                <c:pt idx="35">
                  <c:v>3.5489206492705901E-3</c:v>
                </c:pt>
                <c:pt idx="36">
                  <c:v>2.1953920168079253E-3</c:v>
                </c:pt>
                <c:pt idx="37">
                  <c:v>1.3048364889191465E-3</c:v>
                </c:pt>
                <c:pt idx="38">
                  <c:v>7.45123612324187E-4</c:v>
                </c:pt>
                <c:pt idx="39">
                  <c:v>4.0881684268160223E-4</c:v>
                </c:pt>
                <c:pt idx="40">
                  <c:v>2.15505051364968E-4</c:v>
                </c:pt>
                <c:pt idx="41">
                  <c:v>1.0914763994288172E-4</c:v>
                </c:pt>
                <c:pt idx="42">
                  <c:v>5.3112832820743611E-5</c:v>
                </c:pt>
                <c:pt idx="43">
                  <c:v>2.48320630459329E-5</c:v>
                </c:pt>
                <c:pt idx="44">
                  <c:v>1.1154609204263433E-5</c:v>
                </c:pt>
                <c:pt idx="45">
                  <c:v>4.8142001019893936E-6</c:v>
                </c:pt>
                <c:pt idx="46">
                  <c:v>1.9962831295762822E-6</c:v>
                </c:pt>
                <c:pt idx="47">
                  <c:v>7.9533181619408737E-7</c:v>
                </c:pt>
                <c:pt idx="48">
                  <c:v>3.044407593281332E-7</c:v>
                </c:pt>
                <c:pt idx="49">
                  <c:v>1.1196581804824575E-7</c:v>
                </c:pt>
                <c:pt idx="50">
                  <c:v>3.9563648909730951E-8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2-4E73-9A02-C0DEA42C131F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Nitrat!$T$46:$T$97</c:f>
              <c:numCache>
                <c:formatCode>0.0</c:formatCode>
                <c:ptCount val="52"/>
                <c:pt idx="0">
                  <c:v>-2.4360000000000003E-2</c:v>
                </c:pt>
                <c:pt idx="1">
                  <c:v>2.4360000000000003E-2</c:v>
                </c:pt>
                <c:pt idx="2">
                  <c:v>2.4116400000000002</c:v>
                </c:pt>
                <c:pt idx="3">
                  <c:v>2.4603600000000005</c:v>
                </c:pt>
                <c:pt idx="4">
                  <c:v>4.8476400000000011</c:v>
                </c:pt>
                <c:pt idx="5">
                  <c:v>4.8963600000000005</c:v>
                </c:pt>
                <c:pt idx="6">
                  <c:v>7.2836400000000019</c:v>
                </c:pt>
                <c:pt idx="7">
                  <c:v>7.3323600000000013</c:v>
                </c:pt>
                <c:pt idx="8">
                  <c:v>9.7196400000000018</c:v>
                </c:pt>
                <c:pt idx="9">
                  <c:v>9.7683600000000013</c:v>
                </c:pt>
                <c:pt idx="10">
                  <c:v>12.155640000000002</c:v>
                </c:pt>
                <c:pt idx="11">
                  <c:v>12.204360000000001</c:v>
                </c:pt>
                <c:pt idx="12">
                  <c:v>14.591640000000003</c:v>
                </c:pt>
                <c:pt idx="13">
                  <c:v>14.640360000000003</c:v>
                </c:pt>
                <c:pt idx="14">
                  <c:v>17.027640000000002</c:v>
                </c:pt>
                <c:pt idx="15">
                  <c:v>17.076360000000005</c:v>
                </c:pt>
                <c:pt idx="16">
                  <c:v>19.463640000000002</c:v>
                </c:pt>
                <c:pt idx="17">
                  <c:v>19.512360000000005</c:v>
                </c:pt>
                <c:pt idx="18">
                  <c:v>21.899640000000002</c:v>
                </c:pt>
                <c:pt idx="19">
                  <c:v>21.948360000000005</c:v>
                </c:pt>
                <c:pt idx="20">
                  <c:v>24.335640000000001</c:v>
                </c:pt>
                <c:pt idx="21">
                  <c:v>24.384360000000004</c:v>
                </c:pt>
                <c:pt idx="22">
                  <c:v>26.771640000000001</c:v>
                </c:pt>
                <c:pt idx="23">
                  <c:v>26.820360000000004</c:v>
                </c:pt>
                <c:pt idx="24">
                  <c:v>29.207640000000005</c:v>
                </c:pt>
                <c:pt idx="25">
                  <c:v>29.256360000000008</c:v>
                </c:pt>
                <c:pt idx="26">
                  <c:v>31.643640000000005</c:v>
                </c:pt>
                <c:pt idx="27">
                  <c:v>31.692360000000008</c:v>
                </c:pt>
                <c:pt idx="28">
                  <c:v>34.079640000000005</c:v>
                </c:pt>
                <c:pt idx="29">
                  <c:v>34.128360000000008</c:v>
                </c:pt>
                <c:pt idx="30">
                  <c:v>36.515640000000005</c:v>
                </c:pt>
                <c:pt idx="31">
                  <c:v>36.564360000000008</c:v>
                </c:pt>
                <c:pt idx="32">
                  <c:v>38.951640000000005</c:v>
                </c:pt>
                <c:pt idx="33">
                  <c:v>39.000360000000008</c:v>
                </c:pt>
                <c:pt idx="34">
                  <c:v>41.387640000000005</c:v>
                </c:pt>
                <c:pt idx="35">
                  <c:v>41.436360000000008</c:v>
                </c:pt>
                <c:pt idx="36">
                  <c:v>43.823640000000005</c:v>
                </c:pt>
                <c:pt idx="37">
                  <c:v>43.872360000000008</c:v>
                </c:pt>
                <c:pt idx="38">
                  <c:v>46.259640000000005</c:v>
                </c:pt>
                <c:pt idx="39">
                  <c:v>46.308360000000008</c:v>
                </c:pt>
                <c:pt idx="40">
                  <c:v>48.695640000000004</c:v>
                </c:pt>
                <c:pt idx="41">
                  <c:v>48.744360000000007</c:v>
                </c:pt>
                <c:pt idx="42">
                  <c:v>51.131640000000004</c:v>
                </c:pt>
                <c:pt idx="43">
                  <c:v>51.180360000000007</c:v>
                </c:pt>
                <c:pt idx="44">
                  <c:v>53.567640000000004</c:v>
                </c:pt>
                <c:pt idx="45">
                  <c:v>53.616360000000007</c:v>
                </c:pt>
                <c:pt idx="46">
                  <c:v>56.003640000000004</c:v>
                </c:pt>
                <c:pt idx="47">
                  <c:v>56.052360000000007</c:v>
                </c:pt>
                <c:pt idx="48">
                  <c:v>58.439640000000011</c:v>
                </c:pt>
                <c:pt idx="49">
                  <c:v>58.488360000000014</c:v>
                </c:pt>
                <c:pt idx="50">
                  <c:v>60.875640000000011</c:v>
                </c:pt>
                <c:pt idx="51">
                  <c:v>60.924360000000014</c:v>
                </c:pt>
              </c:numCache>
            </c:numRef>
          </c:xVal>
          <c:yVal>
            <c:numRef>
              <c:f>Nitrat!$U$46:$U$97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1.1728829462819609E-2</c:v>
                </c:pt>
                <c:pt idx="12">
                  <c:v>1.1728829462819609E-2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4.6915317851278435E-2</c:v>
                </c:pt>
                <c:pt idx="18">
                  <c:v>4.6915317851278435E-2</c:v>
                </c:pt>
                <c:pt idx="19">
                  <c:v>0</c:v>
                </c:pt>
                <c:pt idx="20">
                  <c:v>0</c:v>
                </c:pt>
                <c:pt idx="21">
                  <c:v>8.2101806239737257E-2</c:v>
                </c:pt>
                <c:pt idx="22">
                  <c:v>8.2101806239737257E-2</c:v>
                </c:pt>
                <c:pt idx="23">
                  <c:v>7.0372976776917659E-2</c:v>
                </c:pt>
                <c:pt idx="24">
                  <c:v>7.0372976776917659E-2</c:v>
                </c:pt>
                <c:pt idx="25">
                  <c:v>1.1728829462819609E-2</c:v>
                </c:pt>
                <c:pt idx="26">
                  <c:v>1.1728829462819609E-2</c:v>
                </c:pt>
                <c:pt idx="27">
                  <c:v>3.5186488388458829E-2</c:v>
                </c:pt>
                <c:pt idx="28">
                  <c:v>3.5186488388458829E-2</c:v>
                </c:pt>
                <c:pt idx="29">
                  <c:v>5.864414731409804E-2</c:v>
                </c:pt>
                <c:pt idx="30">
                  <c:v>5.864414731409804E-2</c:v>
                </c:pt>
                <c:pt idx="31">
                  <c:v>3.5186488388458829E-2</c:v>
                </c:pt>
                <c:pt idx="32">
                  <c:v>3.5186488388458829E-2</c:v>
                </c:pt>
                <c:pt idx="33">
                  <c:v>3.5186488388458829E-2</c:v>
                </c:pt>
                <c:pt idx="34">
                  <c:v>3.5186488388458829E-2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1.1728829462819609E-2</c:v>
                </c:pt>
                <c:pt idx="44">
                  <c:v>1.1728829462819609E-2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1.1728829462819609E-2</c:v>
                </c:pt>
                <c:pt idx="50">
                  <c:v>1.1728829462819609E-2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A2-4E73-9A02-C0DEA42C131F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Nitrat!$U$3:$V$3</c:f>
              <c:numCache>
                <c:formatCode>0.000</c:formatCode>
                <c:ptCount val="2"/>
                <c:pt idx="0">
                  <c:v>46.233543777065506</c:v>
                </c:pt>
                <c:pt idx="1">
                  <c:v>46.233543777065506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A2-4E73-9A02-C0DEA42C131F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Nitrat!$U$4:$V$4</c:f>
              <c:numCache>
                <c:formatCode>0.000</c:formatCode>
                <c:ptCount val="2"/>
                <c:pt idx="0">
                  <c:v>45.349359555885336</c:v>
                </c:pt>
                <c:pt idx="1">
                  <c:v>45.349359555885336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A2-4E73-9A02-C0DEA42C131F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Nitrat!$U$5:$V$5</c:f>
              <c:numCache>
                <c:formatCode>0.000</c:formatCode>
                <c:ptCount val="2"/>
                <c:pt idx="0">
                  <c:v>49.481783747179207</c:v>
                </c:pt>
                <c:pt idx="1">
                  <c:v>49.481783747179207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A2-4E73-9A02-C0DEA42C131F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Nitrat!$U$6:$V$6</c:f>
              <c:numCache>
                <c:formatCode>0.000</c:formatCode>
                <c:ptCount val="2"/>
                <c:pt idx="0">
                  <c:v>51.297550316324262</c:v>
                </c:pt>
                <c:pt idx="1">
                  <c:v>51.297550316324262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A2-4E73-9A02-C0DEA42C131F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Nitrat!$U$7:$V$7</c:f>
              <c:numCache>
                <c:formatCode>0.000</c:formatCode>
                <c:ptCount val="2"/>
                <c:pt idx="0">
                  <c:v>11.480741937220206</c:v>
                </c:pt>
                <c:pt idx="1">
                  <c:v>11.480741937220206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A2-4E73-9A02-C0DEA42C131F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Nitrat!$U$8:$V$8</c:f>
              <c:numCache>
                <c:formatCode>0.000</c:formatCode>
                <c:ptCount val="2"/>
                <c:pt idx="0">
                  <c:v>2.7278519570304121</c:v>
                </c:pt>
                <c:pt idx="1">
                  <c:v>2.7278519570304121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A2-4E73-9A02-C0DEA42C131F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Nitrat!$U$11:$V$11</c:f>
              <c:numCache>
                <c:formatCode>0.000</c:formatCode>
                <c:ptCount val="2"/>
                <c:pt idx="0">
                  <c:v>26.6</c:v>
                </c:pt>
                <c:pt idx="1">
                  <c:v>26.6</c:v>
                </c:pt>
              </c:numCache>
            </c:numRef>
          </c:xVal>
          <c:yVal>
            <c:numRef>
              <c:f>Nitrat!$U$2:$V$2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A2-4E73-9A02-C0DEA42C1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19040"/>
        <c:axId val="134152192"/>
      </c:scatterChart>
      <c:valAx>
        <c:axId val="147319040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4152192"/>
        <c:crosses val="autoZero"/>
        <c:crossBetween val="midCat"/>
        <c:majorUnit val="20"/>
        <c:minorUnit val="5"/>
      </c:valAx>
      <c:valAx>
        <c:axId val="134152192"/>
        <c:scaling>
          <c:orientation val="minMax"/>
          <c:max val="0.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319040"/>
        <c:crosses val="autoZero"/>
        <c:crossBetween val="midCat"/>
        <c:majorUnit val="2.0000000000000004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Nitrat!$M$3:$M$252</c:f>
              <c:numCache>
                <c:formatCode>d/m/yyyy;@</c:formatCode>
                <c:ptCount val="250"/>
                <c:pt idx="0">
                  <c:v>36769</c:v>
                </c:pt>
                <c:pt idx="1">
                  <c:v>39115</c:v>
                </c:pt>
                <c:pt idx="2">
                  <c:v>39318</c:v>
                </c:pt>
                <c:pt idx="3">
                  <c:v>39492</c:v>
                </c:pt>
                <c:pt idx="4">
                  <c:v>39723</c:v>
                </c:pt>
                <c:pt idx="5">
                  <c:v>39842</c:v>
                </c:pt>
                <c:pt idx="6">
                  <c:v>40024</c:v>
                </c:pt>
                <c:pt idx="7">
                  <c:v>40198</c:v>
                </c:pt>
                <c:pt idx="8">
                  <c:v>40329</c:v>
                </c:pt>
                <c:pt idx="9">
                  <c:v>40409</c:v>
                </c:pt>
                <c:pt idx="10">
                  <c:v>40487</c:v>
                </c:pt>
                <c:pt idx="11">
                  <c:v>40639</c:v>
                </c:pt>
                <c:pt idx="12">
                  <c:v>40744</c:v>
                </c:pt>
                <c:pt idx="13">
                  <c:v>40799</c:v>
                </c:pt>
                <c:pt idx="14">
                  <c:v>40898</c:v>
                </c:pt>
                <c:pt idx="15">
                  <c:v>40977</c:v>
                </c:pt>
                <c:pt idx="16">
                  <c:v>41086</c:v>
                </c:pt>
                <c:pt idx="17">
                  <c:v>41164</c:v>
                </c:pt>
                <c:pt idx="18">
                  <c:v>41248</c:v>
                </c:pt>
                <c:pt idx="19">
                  <c:v>41338</c:v>
                </c:pt>
                <c:pt idx="20">
                  <c:v>41429</c:v>
                </c:pt>
                <c:pt idx="21">
                  <c:v>41516</c:v>
                </c:pt>
                <c:pt idx="22">
                  <c:v>41617</c:v>
                </c:pt>
                <c:pt idx="23">
                  <c:v>41696</c:v>
                </c:pt>
                <c:pt idx="24">
                  <c:v>41813</c:v>
                </c:pt>
                <c:pt idx="25">
                  <c:v>41886</c:v>
                </c:pt>
                <c:pt idx="26">
                  <c:v>41975</c:v>
                </c:pt>
                <c:pt idx="27">
                  <c:v>42046</c:v>
                </c:pt>
                <c:pt idx="28">
                  <c:v>42156</c:v>
                </c:pt>
                <c:pt idx="29">
                  <c:v>42254</c:v>
                </c:pt>
                <c:pt idx="30">
                  <c:v>42332</c:v>
                </c:pt>
                <c:pt idx="31">
                  <c:v>42403</c:v>
                </c:pt>
                <c:pt idx="32">
                  <c:v>42508</c:v>
                </c:pt>
                <c:pt idx="33">
                  <c:v>42579</c:v>
                </c:pt>
                <c:pt idx="34">
                  <c:v>42696</c:v>
                </c:pt>
              </c:numCache>
            </c:numRef>
          </c:xVal>
          <c:yVal>
            <c:numRef>
              <c:f>Nitrat!$N$3:$N$252</c:f>
              <c:numCache>
                <c:formatCode>General</c:formatCode>
                <c:ptCount val="250"/>
                <c:pt idx="0">
                  <c:v>49</c:v>
                </c:pt>
                <c:pt idx="1">
                  <c:v>22</c:v>
                </c:pt>
                <c:pt idx="2">
                  <c:v>35</c:v>
                </c:pt>
                <c:pt idx="3">
                  <c:v>37</c:v>
                </c:pt>
                <c:pt idx="4">
                  <c:v>58</c:v>
                </c:pt>
                <c:pt idx="5">
                  <c:v>35</c:v>
                </c:pt>
                <c:pt idx="6">
                  <c:v>30</c:v>
                </c:pt>
                <c:pt idx="7">
                  <c:v>25</c:v>
                </c:pt>
                <c:pt idx="8">
                  <c:v>19.3</c:v>
                </c:pt>
                <c:pt idx="9">
                  <c:v>32</c:v>
                </c:pt>
                <c:pt idx="10">
                  <c:v>23.4</c:v>
                </c:pt>
                <c:pt idx="11">
                  <c:v>12</c:v>
                </c:pt>
                <c:pt idx="12">
                  <c:v>26.6</c:v>
                </c:pt>
                <c:pt idx="13">
                  <c:v>26</c:v>
                </c:pt>
                <c:pt idx="14">
                  <c:v>23.8</c:v>
                </c:pt>
                <c:pt idx="15">
                  <c:v>18</c:v>
                </c:pt>
                <c:pt idx="16">
                  <c:v>22.9</c:v>
                </c:pt>
                <c:pt idx="17">
                  <c:v>31</c:v>
                </c:pt>
                <c:pt idx="18">
                  <c:v>28.3</c:v>
                </c:pt>
                <c:pt idx="19">
                  <c:v>18</c:v>
                </c:pt>
                <c:pt idx="20">
                  <c:v>19</c:v>
                </c:pt>
                <c:pt idx="21">
                  <c:v>37</c:v>
                </c:pt>
                <c:pt idx="22">
                  <c:v>35.299999999999997</c:v>
                </c:pt>
                <c:pt idx="23">
                  <c:v>22.4</c:v>
                </c:pt>
                <c:pt idx="24">
                  <c:v>25.2</c:v>
                </c:pt>
                <c:pt idx="25">
                  <c:v>24.2</c:v>
                </c:pt>
                <c:pt idx="26">
                  <c:v>26.1</c:v>
                </c:pt>
                <c:pt idx="27">
                  <c:v>23</c:v>
                </c:pt>
                <c:pt idx="28">
                  <c:v>25.8</c:v>
                </c:pt>
                <c:pt idx="29">
                  <c:v>33</c:v>
                </c:pt>
                <c:pt idx="30">
                  <c:v>31.7</c:v>
                </c:pt>
                <c:pt idx="31">
                  <c:v>34</c:v>
                </c:pt>
                <c:pt idx="32">
                  <c:v>33.5</c:v>
                </c:pt>
                <c:pt idx="33">
                  <c:v>30</c:v>
                </c:pt>
                <c:pt idx="34">
                  <c:v>37.5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15-466F-8939-9ECF7FA7313B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Nitrat!$E$57:$E$58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Nitrat!$F$57:$F$58</c:f>
              <c:numCache>
                <c:formatCode>0.000</c:formatCode>
                <c:ptCount val="2"/>
                <c:pt idx="0">
                  <c:v>46.233543777065506</c:v>
                </c:pt>
                <c:pt idx="1">
                  <c:v>46.233543777065506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15-466F-8939-9ECF7FA7313B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Nitrat!$E$57:$E$58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Nitrat!$J$57:$J$58</c:f>
              <c:numCache>
                <c:formatCode>0.000</c:formatCode>
                <c:ptCount val="2"/>
                <c:pt idx="0">
                  <c:v>45.349359555885336</c:v>
                </c:pt>
                <c:pt idx="1">
                  <c:v>45.349359555885336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15-466F-8939-9ECF7FA7313B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Nitrat!$G$122:$G$123</c:f>
              <c:numCache>
                <c:formatCode>d/m/yyyy;@</c:formatCode>
                <c:ptCount val="2"/>
                <c:pt idx="0">
                  <c:v>12</c:v>
                </c:pt>
                <c:pt idx="1">
                  <c:v>42696</c:v>
                </c:pt>
              </c:numCache>
            </c:numRef>
          </c:xVal>
          <c:yVal>
            <c:numRef>
              <c:f>Nitrat!$I$122:$I$123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15-466F-8939-9ECF7FA7313B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Nitrat!$G$122:$G$123</c:f>
              <c:numCache>
                <c:formatCode>d/m/yyyy;@</c:formatCode>
                <c:ptCount val="2"/>
                <c:pt idx="0">
                  <c:v>12</c:v>
                </c:pt>
                <c:pt idx="1">
                  <c:v>42696</c:v>
                </c:pt>
              </c:numCache>
            </c:numRef>
          </c:xVal>
          <c:yVal>
            <c:numRef>
              <c:f>Nitrat!$J$122:$J$123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615-466F-8939-9ECF7FA7313B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Nitrat!$E$57:$E$58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Nitrat!$G$57:$G$58</c:f>
              <c:numCache>
                <c:formatCode>0.000</c:formatCode>
                <c:ptCount val="2"/>
                <c:pt idx="0">
                  <c:v>11.480741937220206</c:v>
                </c:pt>
                <c:pt idx="1">
                  <c:v>11.480741937220206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15-466F-8939-9ECF7FA7313B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Nitrat!$E$57:$E$58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Nitrat!$H$57:$H$58</c:f>
              <c:numCache>
                <c:formatCode>0.000</c:formatCode>
                <c:ptCount val="2"/>
                <c:pt idx="0">
                  <c:v>49.481783747179207</c:v>
                </c:pt>
                <c:pt idx="1">
                  <c:v>49.481783747179207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615-466F-8939-9ECF7FA7313B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Nitrat!$E$57:$E$58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Nitrat!$K$57:$K$58</c:f>
              <c:numCache>
                <c:formatCode>0.000</c:formatCode>
                <c:ptCount val="2"/>
                <c:pt idx="0">
                  <c:v>51.297550316324262</c:v>
                </c:pt>
                <c:pt idx="1">
                  <c:v>51.297550316324262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15-466F-8939-9ECF7FA73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89824"/>
        <c:axId val="134191360"/>
      </c:scatterChart>
      <c:valAx>
        <c:axId val="134189824"/>
        <c:scaling>
          <c:orientation val="minMax"/>
          <c:max val="44196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4191360"/>
        <c:crossesAt val="0"/>
        <c:crossBetween val="midCat"/>
        <c:majorUnit val="1461"/>
        <c:minorUnit val="365.25"/>
      </c:valAx>
      <c:valAx>
        <c:axId val="134191360"/>
        <c:scaling>
          <c:orientation val="minMax"/>
          <c:max val="7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4189824"/>
        <c:crossesAt val="0"/>
        <c:crossBetween val="midCat"/>
        <c:majorUnit val="1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Ammonium!$F$63:$F$113</c:f>
              <c:numCache>
                <c:formatCode>General</c:formatCode>
                <c:ptCount val="51"/>
                <c:pt idx="0">
                  <c:v>-4.5000975513597913E-2</c:v>
                </c:pt>
                <c:pt idx="1">
                  <c:v>-4.2036004986204675E-2</c:v>
                </c:pt>
                <c:pt idx="2">
                  <c:v>-3.9071034458811438E-2</c:v>
                </c:pt>
                <c:pt idx="3">
                  <c:v>-3.6106063931418214E-2</c:v>
                </c:pt>
                <c:pt idx="4">
                  <c:v>-3.3141093404024977E-2</c:v>
                </c:pt>
                <c:pt idx="5">
                  <c:v>-3.0176122876631749E-2</c:v>
                </c:pt>
                <c:pt idx="6">
                  <c:v>-2.7211152349238519E-2</c:v>
                </c:pt>
                <c:pt idx="7">
                  <c:v>-2.4246181821845288E-2</c:v>
                </c:pt>
                <c:pt idx="8">
                  <c:v>-2.1281211294452058E-2</c:v>
                </c:pt>
                <c:pt idx="9">
                  <c:v>-1.8316240767058827E-2</c:v>
                </c:pt>
                <c:pt idx="10">
                  <c:v>-1.535127023966559E-2</c:v>
                </c:pt>
                <c:pt idx="11">
                  <c:v>-1.2386299712272359E-2</c:v>
                </c:pt>
                <c:pt idx="12">
                  <c:v>-9.4213291848791285E-3</c:v>
                </c:pt>
                <c:pt idx="13">
                  <c:v>-6.4563586574858979E-3</c:v>
                </c:pt>
                <c:pt idx="14">
                  <c:v>-3.4913881300926673E-3</c:v>
                </c:pt>
                <c:pt idx="15">
                  <c:v>-5.2641760269943674E-4</c:v>
                </c:pt>
                <c:pt idx="16">
                  <c:v>2.4385529246937938E-3</c:v>
                </c:pt>
                <c:pt idx="17">
                  <c:v>5.4035234520870244E-3</c:v>
                </c:pt>
                <c:pt idx="18">
                  <c:v>8.3684939794802585E-3</c:v>
                </c:pt>
                <c:pt idx="19">
                  <c:v>1.1333464506873489E-2</c:v>
                </c:pt>
                <c:pt idx="20">
                  <c:v>1.429843503426672E-2</c:v>
                </c:pt>
                <c:pt idx="21">
                  <c:v>1.726340556165995E-2</c:v>
                </c:pt>
                <c:pt idx="22">
                  <c:v>2.0228376089053181E-2</c:v>
                </c:pt>
                <c:pt idx="23">
                  <c:v>2.3193346616446411E-2</c:v>
                </c:pt>
                <c:pt idx="24">
                  <c:v>2.6158317143839645E-2</c:v>
                </c:pt>
                <c:pt idx="25">
                  <c:v>2.9123287671232876E-2</c:v>
                </c:pt>
                <c:pt idx="26">
                  <c:v>3.208825819862611E-2</c:v>
                </c:pt>
                <c:pt idx="27">
                  <c:v>3.5053228726019341E-2</c:v>
                </c:pt>
                <c:pt idx="28">
                  <c:v>3.8018199253412571E-2</c:v>
                </c:pt>
                <c:pt idx="29">
                  <c:v>4.0983169780805948E-2</c:v>
                </c:pt>
                <c:pt idx="30">
                  <c:v>4.3948140308199178E-2</c:v>
                </c:pt>
                <c:pt idx="31">
                  <c:v>4.6913110835592409E-2</c:v>
                </c:pt>
                <c:pt idx="32">
                  <c:v>4.9878081362985646E-2</c:v>
                </c:pt>
                <c:pt idx="33">
                  <c:v>5.2843051890378877E-2</c:v>
                </c:pt>
                <c:pt idx="34">
                  <c:v>5.5808022417772107E-2</c:v>
                </c:pt>
                <c:pt idx="35">
                  <c:v>5.8772992945165345E-2</c:v>
                </c:pt>
                <c:pt idx="36">
                  <c:v>6.1737963472558569E-2</c:v>
                </c:pt>
                <c:pt idx="37">
                  <c:v>6.4702933999951806E-2</c:v>
                </c:pt>
                <c:pt idx="38">
                  <c:v>6.766790452734503E-2</c:v>
                </c:pt>
                <c:pt idx="39">
                  <c:v>7.0632875054738267E-2</c:v>
                </c:pt>
                <c:pt idx="40">
                  <c:v>7.3597845582131491E-2</c:v>
                </c:pt>
                <c:pt idx="41">
                  <c:v>7.6562816109524728E-2</c:v>
                </c:pt>
                <c:pt idx="42">
                  <c:v>7.9527786636917952E-2</c:v>
                </c:pt>
                <c:pt idx="43">
                  <c:v>8.249275716431119E-2</c:v>
                </c:pt>
                <c:pt idx="44">
                  <c:v>8.5457727691704413E-2</c:v>
                </c:pt>
                <c:pt idx="45">
                  <c:v>8.8422698219097651E-2</c:v>
                </c:pt>
                <c:pt idx="46">
                  <c:v>9.1387668746490874E-2</c:v>
                </c:pt>
                <c:pt idx="47">
                  <c:v>9.4352639273884112E-2</c:v>
                </c:pt>
                <c:pt idx="48">
                  <c:v>9.7317609801277349E-2</c:v>
                </c:pt>
                <c:pt idx="49">
                  <c:v>0.10028258032867056</c:v>
                </c:pt>
                <c:pt idx="50">
                  <c:v>0.10324755085606366</c:v>
                </c:pt>
              </c:numCache>
            </c:numRef>
          </c:xVal>
          <c:yVal>
            <c:numRef>
              <c:f>Ammonium!$G$63:$G$113</c:f>
              <c:numCache>
                <c:formatCode>General</c:formatCode>
                <c:ptCount val="51"/>
                <c:pt idx="0">
                  <c:v>1.0028561842342526E-4</c:v>
                </c:pt>
                <c:pt idx="1">
                  <c:v>2.6720664198404733E-4</c:v>
                </c:pt>
                <c:pt idx="2">
                  <c:v>6.8404403833332423E-4</c:v>
                </c:pt>
                <c:pt idx="3">
                  <c:v>1.6824768448530083E-3</c:v>
                </c:pt>
                <c:pt idx="4">
                  <c:v>3.9759631478267768E-3</c:v>
                </c:pt>
                <c:pt idx="5">
                  <c:v>9.0274236811755029E-3</c:v>
                </c:pt>
                <c:pt idx="6">
                  <c:v>1.9693074389386018E-2</c:v>
                </c:pt>
                <c:pt idx="7">
                  <c:v>4.1275414002293592E-2</c:v>
                </c:pt>
                <c:pt idx="8">
                  <c:v>8.3118476699083468E-2</c:v>
                </c:pt>
                <c:pt idx="9">
                  <c:v>0.16081699156456061</c:v>
                </c:pt>
                <c:pt idx="10">
                  <c:v>0.29894721522472917</c:v>
                </c:pt>
                <c:pt idx="11">
                  <c:v>0.53393121515707909</c:v>
                </c:pt>
                <c:pt idx="12">
                  <c:v>0.91622962914424833</c:v>
                </c:pt>
                <c:pt idx="13">
                  <c:v>1.5106072784158107</c:v>
                </c:pt>
                <c:pt idx="14">
                  <c:v>2.392913691281803</c:v>
                </c:pt>
                <c:pt idx="15">
                  <c:v>3.6419226440443788</c:v>
                </c:pt>
                <c:pt idx="16">
                  <c:v>5.3255273582976379</c:v>
                </c:pt>
                <c:pt idx="17">
                  <c:v>7.4820868305207675</c:v>
                </c:pt>
                <c:pt idx="18">
                  <c:v>10.099760807226881</c:v>
                </c:pt>
                <c:pt idx="19">
                  <c:v>13.098683659020324</c:v>
                </c:pt>
                <c:pt idx="20">
                  <c:v>16.321964908830395</c:v>
                </c:pt>
                <c:pt idx="21">
                  <c:v>19.540939789116642</c:v>
                </c:pt>
                <c:pt idx="22">
                  <c:v>22.477431044467547</c:v>
                </c:pt>
                <c:pt idx="23">
                  <c:v>24.84140310339626</c:v>
                </c:pt>
                <c:pt idx="24">
                  <c:v>26.377509682651464</c:v>
                </c:pt>
                <c:pt idx="25">
                  <c:v>26.910370724809752</c:v>
                </c:pt>
                <c:pt idx="26">
                  <c:v>26.377509682651464</c:v>
                </c:pt>
                <c:pt idx="27">
                  <c:v>24.84140310339626</c:v>
                </c:pt>
                <c:pt idx="28">
                  <c:v>22.477431044467547</c:v>
                </c:pt>
                <c:pt idx="29">
                  <c:v>19.540939789116489</c:v>
                </c:pt>
                <c:pt idx="30">
                  <c:v>16.321964908830235</c:v>
                </c:pt>
                <c:pt idx="31">
                  <c:v>13.098683659020171</c:v>
                </c:pt>
                <c:pt idx="32">
                  <c:v>10.099760807226737</c:v>
                </c:pt>
                <c:pt idx="33">
                  <c:v>7.4820868305206467</c:v>
                </c:pt>
                <c:pt idx="34">
                  <c:v>5.3255273582975429</c:v>
                </c:pt>
                <c:pt idx="35">
                  <c:v>3.6419226440443007</c:v>
                </c:pt>
                <c:pt idx="36">
                  <c:v>2.3929136912817466</c:v>
                </c:pt>
                <c:pt idx="37">
                  <c:v>1.5106072784157725</c:v>
                </c:pt>
                <c:pt idx="38">
                  <c:v>0.91622962914422246</c:v>
                </c:pt>
                <c:pt idx="39">
                  <c:v>0.5339312151570631</c:v>
                </c:pt>
                <c:pt idx="40">
                  <c:v>0.29894721522471962</c:v>
                </c:pt>
                <c:pt idx="41">
                  <c:v>0.16081699156455548</c:v>
                </c:pt>
                <c:pt idx="42">
                  <c:v>8.3118476699080748E-2</c:v>
                </c:pt>
                <c:pt idx="43">
                  <c:v>4.1275414002292087E-2</c:v>
                </c:pt>
                <c:pt idx="44">
                  <c:v>1.9693074389385286E-2</c:v>
                </c:pt>
                <c:pt idx="45">
                  <c:v>9.0274236811751177E-3</c:v>
                </c:pt>
                <c:pt idx="46">
                  <c:v>3.9759631478266007E-3</c:v>
                </c:pt>
                <c:pt idx="47">
                  <c:v>1.6824768448529309E-3</c:v>
                </c:pt>
                <c:pt idx="48">
                  <c:v>6.8404403833329018E-4</c:v>
                </c:pt>
                <c:pt idx="49">
                  <c:v>2.6720664198403492E-4</c:v>
                </c:pt>
                <c:pt idx="50">
                  <c:v>1.0028561842342526E-4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A2-47F3-ABBA-730622E9FAF1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Ammonium!$I$63:$I$113</c:f>
              <c:numCache>
                <c:formatCode>General</c:formatCode>
                <c:ptCount val="51"/>
                <c:pt idx="0">
                  <c:v>-2.4281935580016414E-2</c:v>
                </c:pt>
                <c:pt idx="1">
                  <c:v>-2.2585285685813028E-2</c:v>
                </c:pt>
                <c:pt idx="2">
                  <c:v>-2.0858561835549738E-2</c:v>
                </c:pt>
                <c:pt idx="3">
                  <c:v>-1.9101230953524825E-2</c:v>
                </c:pt>
                <c:pt idx="4">
                  <c:v>-1.7312750515006733E-2</c:v>
                </c:pt>
                <c:pt idx="5">
                  <c:v>-1.5492568378745505E-2</c:v>
                </c:pt>
                <c:pt idx="6">
                  <c:v>-1.3640122616515371E-2</c:v>
                </c:pt>
                <c:pt idx="7">
                  <c:v>-1.1754841339635461E-2</c:v>
                </c:pt>
                <c:pt idx="8">
                  <c:v>-9.8361425224162274E-3</c:v>
                </c:pt>
                <c:pt idx="9">
                  <c:v>-7.8834338224755413E-3</c:v>
                </c:pt>
                <c:pt idx="10">
                  <c:v>-5.8961123978706481E-3</c:v>
                </c:pt>
                <c:pt idx="11">
                  <c:v>-3.8735647209879182E-3</c:v>
                </c:pt>
                <c:pt idx="12">
                  <c:v>-1.8151663891342318E-3</c:v>
                </c:pt>
                <c:pt idx="13">
                  <c:v>2.7971806822904566E-4</c:v>
                </c:pt>
                <c:pt idx="14">
                  <c:v>2.411735385669439E-3</c:v>
                </c:pt>
                <c:pt idx="15">
                  <c:v>4.5815437614433879E-3</c:v>
                </c:pt>
                <c:pt idx="16">
                  <c:v>6.7898130606961482E-3</c:v>
                </c:pt>
                <c:pt idx="17">
                  <c:v>9.0372250222630623E-3</c:v>
                </c:pt>
                <c:pt idx="18">
                  <c:v>1.1324473469136342E-2</c:v>
                </c:pt>
                <c:pt idx="19">
                  <c:v>1.3652264522663049E-2</c:v>
                </c:pt>
                <c:pt idx="20">
                  <c:v>1.6021316820539228E-2</c:v>
                </c:pt>
                <c:pt idx="21">
                  <c:v>1.8432361738668551E-2</c:v>
                </c:pt>
                <c:pt idx="22">
                  <c:v>2.0886143616953234E-2</c:v>
                </c:pt>
                <c:pt idx="23">
                  <c:v>2.3383419989087245E-2</c:v>
                </c:pt>
                <c:pt idx="24">
                  <c:v>2.5924961816423037E-2</c:v>
                </c:pt>
                <c:pt idx="25">
                  <c:v>2.8511553725983019E-2</c:v>
                </c:pt>
                <c:pt idx="26">
                  <c:v>3.1143994252690627E-2</c:v>
                </c:pt>
                <c:pt idx="27">
                  <c:v>3.3823096085894566E-2</c:v>
                </c:pt>
                <c:pt idx="28">
                  <c:v>3.6549686320262953E-2</c:v>
                </c:pt>
                <c:pt idx="29">
                  <c:v>3.932460671112506E-2</c:v>
                </c:pt>
                <c:pt idx="30">
                  <c:v>4.2148713934337945E-2</c:v>
                </c:pt>
                <c:pt idx="31">
                  <c:v>4.5022879850761116E-2</c:v>
                </c:pt>
                <c:pt idx="32">
                  <c:v>4.7947991775417642E-2</c:v>
                </c:pt>
                <c:pt idx="33">
                  <c:v>5.0924952751426944E-2</c:v>
                </c:pt>
                <c:pt idx="34">
                  <c:v>5.3954681828793122E-2</c:v>
                </c:pt>
                <c:pt idx="35">
                  <c:v>5.7038114348134716E-2</c:v>
                </c:pt>
                <c:pt idx="36">
                  <c:v>6.0176202229444031E-2</c:v>
                </c:pt>
                <c:pt idx="37">
                  <c:v>6.3369914265964666E-2</c:v>
                </c:pt>
                <c:pt idx="38">
                  <c:v>6.6620236423278162E-2</c:v>
                </c:pt>
                <c:pt idx="39">
                  <c:v>6.9928172143692374E-2</c:v>
                </c:pt>
                <c:pt idx="40">
                  <c:v>7.3294742656024703E-2</c:v>
                </c:pt>
                <c:pt idx="41">
                  <c:v>7.6720987290877063E-2</c:v>
                </c:pt>
                <c:pt idx="42">
                  <c:v>8.0207963801498777E-2</c:v>
                </c:pt>
                <c:pt idx="43">
                  <c:v>8.3756748690337085E-2</c:v>
                </c:pt>
                <c:pt idx="44">
                  <c:v>8.7368437541376187E-2</c:v>
                </c:pt>
                <c:pt idx="45">
                  <c:v>9.104414535836633E-2</c:v>
                </c:pt>
                <c:pt idx="46">
                  <c:v>9.4785006909049396E-2</c:v>
                </c:pt>
                <c:pt idx="47">
                  <c:v>9.8592177075484955E-2</c:v>
                </c:pt>
                <c:pt idx="48">
                  <c:v>0.10246683121058661</c:v>
                </c:pt>
                <c:pt idx="49">
                  <c:v>0.10641016550097793</c:v>
                </c:pt>
                <c:pt idx="50">
                  <c:v>0.1104233973362802</c:v>
                </c:pt>
              </c:numCache>
            </c:numRef>
          </c:xVal>
          <c:yVal>
            <c:numRef>
              <c:f>Ammonium!$J$63:$J$113</c:f>
              <c:numCache>
                <c:formatCode>General</c:formatCode>
                <c:ptCount val="51"/>
                <c:pt idx="0">
                  <c:v>1.7680222099909524E-4</c:v>
                </c:pt>
                <c:pt idx="1">
                  <c:v>4.6287705722572849E-4</c:v>
                </c:pt>
                <c:pt idx="2">
                  <c:v>1.1643185450856974E-3</c:v>
                </c:pt>
                <c:pt idx="3">
                  <c:v>2.813884033735141E-3</c:v>
                </c:pt>
                <c:pt idx="4">
                  <c:v>6.5338445287992904E-3</c:v>
                </c:pt>
                <c:pt idx="5">
                  <c:v>1.4576713505856355E-2</c:v>
                </c:pt>
                <c:pt idx="6">
                  <c:v>3.1244865584574198E-2</c:v>
                </c:pt>
                <c:pt idx="7">
                  <c:v>6.4346647367843485E-2</c:v>
                </c:pt>
                <c:pt idx="8">
                  <c:v>0.12732140073834178</c:v>
                </c:pt>
                <c:pt idx="9">
                  <c:v>0.24205001428622711</c:v>
                </c:pt>
                <c:pt idx="10">
                  <c:v>0.44211682041877765</c:v>
                </c:pt>
                <c:pt idx="11">
                  <c:v>0.77588469334011245</c:v>
                </c:pt>
                <c:pt idx="12">
                  <c:v>1.3082343588825953</c:v>
                </c:pt>
                <c:pt idx="13">
                  <c:v>2.1193473378531191</c:v>
                </c:pt>
                <c:pt idx="14">
                  <c:v>3.298731343266311</c:v>
                </c:pt>
                <c:pt idx="15">
                  <c:v>4.9331006451238713</c:v>
                </c:pt>
                <c:pt idx="16">
                  <c:v>7.0879594744550776</c:v>
                </c:pt>
                <c:pt idx="17">
                  <c:v>9.7847716823214661</c:v>
                </c:pt>
                <c:pt idx="18">
                  <c:v>12.978018458353894</c:v>
                </c:pt>
                <c:pt idx="19">
                  <c:v>16.538430762916654</c:v>
                </c:pt>
                <c:pt idx="20">
                  <c:v>20.249226213768392</c:v>
                </c:pt>
                <c:pt idx="21">
                  <c:v>23.820495188855098</c:v>
                </c:pt>
                <c:pt idx="22">
                  <c:v>26.92287033807132</c:v>
                </c:pt>
                <c:pt idx="23">
                  <c:v>29.236148184684609</c:v>
                </c:pt>
                <c:pt idx="24">
                  <c:v>30.503324159590882</c:v>
                </c:pt>
                <c:pt idx="25">
                  <c:v>30.577530377947721</c:v>
                </c:pt>
                <c:pt idx="26">
                  <c:v>29.450038258354645</c:v>
                </c:pt>
                <c:pt idx="27">
                  <c:v>27.251947338825047</c:v>
                </c:pt>
                <c:pt idx="28">
                  <c:v>24.229108765318379</c:v>
                </c:pt>
                <c:pt idx="29">
                  <c:v>20.696912265138028</c:v>
                </c:pt>
                <c:pt idx="30">
                  <c:v>16.986421584010181</c:v>
                </c:pt>
                <c:pt idx="31">
                  <c:v>13.394498539317889</c:v>
                </c:pt>
                <c:pt idx="32">
                  <c:v>10.147971539874611</c:v>
                </c:pt>
                <c:pt idx="33">
                  <c:v>7.3868663705254214</c:v>
                </c:pt>
                <c:pt idx="34">
                  <c:v>5.1661791870162048</c:v>
                </c:pt>
                <c:pt idx="35">
                  <c:v>3.4714179834268379</c:v>
                </c:pt>
                <c:pt idx="36">
                  <c:v>2.2411585065273933</c:v>
                </c:pt>
                <c:pt idx="37">
                  <c:v>1.390165345858666</c:v>
                </c:pt>
                <c:pt idx="38">
                  <c:v>0.82849246679695721</c:v>
                </c:pt>
                <c:pt idx="39">
                  <c:v>0.47439367529408949</c:v>
                </c:pt>
                <c:pt idx="40">
                  <c:v>0.26098613594393671</c:v>
                </c:pt>
                <c:pt idx="41">
                  <c:v>0.13795079426306811</c:v>
                </c:pt>
                <c:pt idx="42">
                  <c:v>7.0058235339185537E-2</c:v>
                </c:pt>
                <c:pt idx="43">
                  <c:v>3.4183962486464672E-2</c:v>
                </c:pt>
                <c:pt idx="44">
                  <c:v>1.6025582831406388E-2</c:v>
                </c:pt>
                <c:pt idx="45">
                  <c:v>7.2182760028194669E-3</c:v>
                </c:pt>
                <c:pt idx="46">
                  <c:v>3.1237865849223817E-3</c:v>
                </c:pt>
                <c:pt idx="47">
                  <c:v>1.2988453614483655E-3</c:v>
                </c:pt>
                <c:pt idx="48">
                  <c:v>5.1887382228257514E-4</c:v>
                </c:pt>
                <c:pt idx="49">
                  <c:v>1.9915641240074737E-4</c:v>
                </c:pt>
                <c:pt idx="50">
                  <c:v>7.3443784679946719E-5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A2-47F3-ABBA-730622E9FAF1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Ammonium!$T$46:$T$97</c:f>
              <c:numCache>
                <c:formatCode>0.0</c:formatCode>
                <c:ptCount val="52"/>
                <c:pt idx="0">
                  <c:v>-5.0400000000000005E-5</c:v>
                </c:pt>
                <c:pt idx="1">
                  <c:v>5.0400000000000005E-5</c:v>
                </c:pt>
                <c:pt idx="2">
                  <c:v>4.9896000000000003E-3</c:v>
                </c:pt>
                <c:pt idx="3">
                  <c:v>5.0904000000000001E-3</c:v>
                </c:pt>
                <c:pt idx="4">
                  <c:v>1.00296E-2</c:v>
                </c:pt>
                <c:pt idx="5">
                  <c:v>1.0130400000000001E-2</c:v>
                </c:pt>
                <c:pt idx="6">
                  <c:v>1.5069600000000001E-2</c:v>
                </c:pt>
                <c:pt idx="7">
                  <c:v>1.5170400000000002E-2</c:v>
                </c:pt>
                <c:pt idx="8">
                  <c:v>2.0109600000000002E-2</c:v>
                </c:pt>
                <c:pt idx="9">
                  <c:v>2.02104E-2</c:v>
                </c:pt>
                <c:pt idx="10">
                  <c:v>2.5149600000000001E-2</c:v>
                </c:pt>
                <c:pt idx="11">
                  <c:v>2.5250399999999999E-2</c:v>
                </c:pt>
                <c:pt idx="12">
                  <c:v>3.0189600000000004E-2</c:v>
                </c:pt>
                <c:pt idx="13">
                  <c:v>3.0290400000000002E-2</c:v>
                </c:pt>
                <c:pt idx="14">
                  <c:v>3.52296E-2</c:v>
                </c:pt>
                <c:pt idx="15">
                  <c:v>3.5330399999999998E-2</c:v>
                </c:pt>
                <c:pt idx="16">
                  <c:v>4.0269600000000003E-2</c:v>
                </c:pt>
                <c:pt idx="17">
                  <c:v>4.0370400000000001E-2</c:v>
                </c:pt>
                <c:pt idx="18">
                  <c:v>4.5309600000000005E-2</c:v>
                </c:pt>
                <c:pt idx="19">
                  <c:v>4.5410400000000004E-2</c:v>
                </c:pt>
                <c:pt idx="20">
                  <c:v>5.0349600000000001E-2</c:v>
                </c:pt>
                <c:pt idx="21">
                  <c:v>5.0450399999999999E-2</c:v>
                </c:pt>
                <c:pt idx="22">
                  <c:v>5.5389600000000004E-2</c:v>
                </c:pt>
                <c:pt idx="23">
                  <c:v>5.5490400000000002E-2</c:v>
                </c:pt>
                <c:pt idx="24">
                  <c:v>6.0429600000000007E-2</c:v>
                </c:pt>
                <c:pt idx="25">
                  <c:v>6.0530400000000005E-2</c:v>
                </c:pt>
                <c:pt idx="26">
                  <c:v>6.5469600000000003E-2</c:v>
                </c:pt>
                <c:pt idx="27">
                  <c:v>6.5570400000000015E-2</c:v>
                </c:pt>
                <c:pt idx="28">
                  <c:v>7.0509599999999992E-2</c:v>
                </c:pt>
                <c:pt idx="29">
                  <c:v>7.0610400000000004E-2</c:v>
                </c:pt>
                <c:pt idx="30">
                  <c:v>7.5549599999999995E-2</c:v>
                </c:pt>
                <c:pt idx="31">
                  <c:v>7.5650400000000007E-2</c:v>
                </c:pt>
                <c:pt idx="32">
                  <c:v>8.0589599999999997E-2</c:v>
                </c:pt>
                <c:pt idx="33">
                  <c:v>8.0690400000000009E-2</c:v>
                </c:pt>
                <c:pt idx="34">
                  <c:v>8.56296E-2</c:v>
                </c:pt>
                <c:pt idx="35">
                  <c:v>8.5730400000000012E-2</c:v>
                </c:pt>
                <c:pt idx="36">
                  <c:v>9.0669600000000003E-2</c:v>
                </c:pt>
                <c:pt idx="37">
                  <c:v>9.0770400000000015E-2</c:v>
                </c:pt>
                <c:pt idx="38">
                  <c:v>9.5709599999999992E-2</c:v>
                </c:pt>
                <c:pt idx="39">
                  <c:v>9.5810400000000004E-2</c:v>
                </c:pt>
                <c:pt idx="40">
                  <c:v>0.10074959999999999</c:v>
                </c:pt>
                <c:pt idx="41">
                  <c:v>0.10085040000000001</c:v>
                </c:pt>
                <c:pt idx="42">
                  <c:v>0.1057896</c:v>
                </c:pt>
                <c:pt idx="43">
                  <c:v>0.10589040000000001</c:v>
                </c:pt>
                <c:pt idx="44">
                  <c:v>0.1108296</c:v>
                </c:pt>
                <c:pt idx="45">
                  <c:v>0.11093040000000001</c:v>
                </c:pt>
                <c:pt idx="46">
                  <c:v>0.1158696</c:v>
                </c:pt>
                <c:pt idx="47">
                  <c:v>0.11597040000000002</c:v>
                </c:pt>
                <c:pt idx="48">
                  <c:v>0.12090960000000001</c:v>
                </c:pt>
                <c:pt idx="49">
                  <c:v>0.12101040000000002</c:v>
                </c:pt>
                <c:pt idx="50">
                  <c:v>0.12594959999999999</c:v>
                </c:pt>
                <c:pt idx="51">
                  <c:v>0.12605040000000001</c:v>
                </c:pt>
              </c:numCache>
            </c:numRef>
          </c:xVal>
          <c:yVal>
            <c:numRef>
              <c:f>Ammonium!$U$46:$U$97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10.871928680147859</c:v>
                </c:pt>
                <c:pt idx="6">
                  <c:v>10.871928680147859</c:v>
                </c:pt>
                <c:pt idx="7">
                  <c:v>0</c:v>
                </c:pt>
                <c:pt idx="8">
                  <c:v>0</c:v>
                </c:pt>
                <c:pt idx="9">
                  <c:v>67.949554250924109</c:v>
                </c:pt>
                <c:pt idx="10">
                  <c:v>67.949554250924109</c:v>
                </c:pt>
                <c:pt idx="11">
                  <c:v>0</c:v>
                </c:pt>
                <c:pt idx="12">
                  <c:v>0</c:v>
                </c:pt>
                <c:pt idx="13">
                  <c:v>86.975429441182868</c:v>
                </c:pt>
                <c:pt idx="14">
                  <c:v>86.975429441182868</c:v>
                </c:pt>
                <c:pt idx="15">
                  <c:v>2.7179821700369646</c:v>
                </c:pt>
                <c:pt idx="16">
                  <c:v>2.7179821700369646</c:v>
                </c:pt>
                <c:pt idx="17">
                  <c:v>8.1539465101108934</c:v>
                </c:pt>
                <c:pt idx="18">
                  <c:v>8.1539465101108934</c:v>
                </c:pt>
                <c:pt idx="19">
                  <c:v>5.4359643400739293</c:v>
                </c:pt>
                <c:pt idx="20">
                  <c:v>5.4359643400739293</c:v>
                </c:pt>
                <c:pt idx="21">
                  <c:v>5.4359643400739293</c:v>
                </c:pt>
                <c:pt idx="22">
                  <c:v>5.4359643400739293</c:v>
                </c:pt>
                <c:pt idx="23">
                  <c:v>2.7179821700369646</c:v>
                </c:pt>
                <c:pt idx="24">
                  <c:v>2.7179821700369646</c:v>
                </c:pt>
                <c:pt idx="25">
                  <c:v>5.4359643400739293</c:v>
                </c:pt>
                <c:pt idx="26">
                  <c:v>5.4359643400739293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2.7179821700369646</c:v>
                </c:pt>
                <c:pt idx="50">
                  <c:v>2.7179821700369646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A2-47F3-ABBA-730622E9FAF1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Ammonium!$U$3:$V$3</c:f>
              <c:numCache>
                <c:formatCode>0.000</c:formatCode>
                <c:ptCount val="2"/>
                <c:pt idx="0">
                  <c:v>5.8179464915800186E-2</c:v>
                </c:pt>
                <c:pt idx="1">
                  <c:v>5.8179464915800186E-2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A2-47F3-ABBA-730622E9FAF1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Ammonium!$U$4:$V$4</c:f>
              <c:numCache>
                <c:formatCode>0.000</c:formatCode>
                <c:ptCount val="2"/>
                <c:pt idx="0">
                  <c:v>5.1599801411945617E-2</c:v>
                </c:pt>
                <c:pt idx="1">
                  <c:v>5.1599801411945617E-2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A2-47F3-ABBA-730622E9FAF1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Ammonium!$U$5:$V$5</c:f>
              <c:numCache>
                <c:formatCode>0.000</c:formatCode>
                <c:ptCount val="2"/>
                <c:pt idx="0">
                  <c:v>6.3611052086207848E-2</c:v>
                </c:pt>
                <c:pt idx="1">
                  <c:v>6.3611052086207848E-2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A2-47F3-ABBA-730622E9FAF1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Ammonium!$U$6:$V$6</c:f>
              <c:numCache>
                <c:formatCode>0.000</c:formatCode>
                <c:ptCount val="2"/>
                <c:pt idx="0">
                  <c:v>5.7876047959525889E-2</c:v>
                </c:pt>
                <c:pt idx="1">
                  <c:v>5.7876047959525889E-2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A2-47F3-ABBA-730622E9FAF1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Ammonium!$U$7:$V$7</c:f>
              <c:numCache>
                <c:formatCode>0.000</c:formatCode>
                <c:ptCount val="2"/>
                <c:pt idx="0">
                  <c:v>6.7110426665562689E-5</c:v>
                </c:pt>
                <c:pt idx="1">
                  <c:v>6.7110426665562689E-5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A2-47F3-ABBA-730622E9FAF1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Ammonium!$U$8:$V$8</c:f>
              <c:numCache>
                <c:formatCode>0.000</c:formatCode>
                <c:ptCount val="2"/>
                <c:pt idx="0">
                  <c:v>-2.0792775977736717</c:v>
                </c:pt>
                <c:pt idx="1">
                  <c:v>-2.0792775977736717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A2-47F3-ABBA-730622E9FAF1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Ammonium!$U$11:$V$11</c:f>
              <c:numCache>
                <c:formatCode>0.000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xVal>
          <c:yVal>
            <c:numRef>
              <c:f>Ammonium!$U$2:$V$2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CA2-47F3-ABBA-730622E9F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34528"/>
        <c:axId val="147736064"/>
      </c:scatterChart>
      <c:valAx>
        <c:axId val="147734528"/>
        <c:scaling>
          <c:orientation val="minMax"/>
          <c:max val="0.2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736064"/>
        <c:crosses val="autoZero"/>
        <c:crossBetween val="midCat"/>
        <c:majorUnit val="5.000000000000001E-2"/>
        <c:minorUnit val="1.0000000000000002E-2"/>
      </c:valAx>
      <c:valAx>
        <c:axId val="147736064"/>
        <c:scaling>
          <c:orientation val="minMax"/>
          <c:max val="4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734528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Ammonium!$M$3:$M$252</c:f>
              <c:numCache>
                <c:formatCode>d/m/yyyy;@</c:formatCode>
                <c:ptCount val="250"/>
                <c:pt idx="0">
                  <c:v>35808</c:v>
                </c:pt>
                <c:pt idx="1">
                  <c:v>35908</c:v>
                </c:pt>
                <c:pt idx="2">
                  <c:v>35996</c:v>
                </c:pt>
                <c:pt idx="3">
                  <c:v>36108</c:v>
                </c:pt>
                <c:pt idx="4">
                  <c:v>36161</c:v>
                </c:pt>
                <c:pt idx="5">
                  <c:v>36251</c:v>
                </c:pt>
                <c:pt idx="6">
                  <c:v>36276</c:v>
                </c:pt>
                <c:pt idx="7">
                  <c:v>36342</c:v>
                </c:pt>
                <c:pt idx="8">
                  <c:v>36434</c:v>
                </c:pt>
                <c:pt idx="9">
                  <c:v>36557</c:v>
                </c:pt>
                <c:pt idx="10">
                  <c:v>36651</c:v>
                </c:pt>
                <c:pt idx="11">
                  <c:v>36733</c:v>
                </c:pt>
                <c:pt idx="12">
                  <c:v>36838</c:v>
                </c:pt>
                <c:pt idx="13">
                  <c:v>36907</c:v>
                </c:pt>
                <c:pt idx="14">
                  <c:v>37006</c:v>
                </c:pt>
                <c:pt idx="15">
                  <c:v>37097</c:v>
                </c:pt>
                <c:pt idx="16">
                  <c:v>37172</c:v>
                </c:pt>
                <c:pt idx="17">
                  <c:v>37264</c:v>
                </c:pt>
                <c:pt idx="18">
                  <c:v>37354</c:v>
                </c:pt>
                <c:pt idx="19">
                  <c:v>37467</c:v>
                </c:pt>
                <c:pt idx="20">
                  <c:v>37573</c:v>
                </c:pt>
                <c:pt idx="21">
                  <c:v>37649</c:v>
                </c:pt>
                <c:pt idx="22">
                  <c:v>37750</c:v>
                </c:pt>
                <c:pt idx="23">
                  <c:v>37845</c:v>
                </c:pt>
                <c:pt idx="24">
                  <c:v>37930</c:v>
                </c:pt>
                <c:pt idx="25">
                  <c:v>38034</c:v>
                </c:pt>
                <c:pt idx="26">
                  <c:v>38183</c:v>
                </c:pt>
                <c:pt idx="27">
                  <c:v>38281</c:v>
                </c:pt>
                <c:pt idx="28">
                  <c:v>38344</c:v>
                </c:pt>
                <c:pt idx="29">
                  <c:v>38391</c:v>
                </c:pt>
                <c:pt idx="30">
                  <c:v>38460</c:v>
                </c:pt>
                <c:pt idx="31">
                  <c:v>38553</c:v>
                </c:pt>
                <c:pt idx="32">
                  <c:v>38701</c:v>
                </c:pt>
                <c:pt idx="33">
                  <c:v>39079</c:v>
                </c:pt>
                <c:pt idx="34">
                  <c:v>39127</c:v>
                </c:pt>
                <c:pt idx="35">
                  <c:v>39226</c:v>
                </c:pt>
                <c:pt idx="36">
                  <c:v>39308</c:v>
                </c:pt>
                <c:pt idx="37">
                  <c:v>39408</c:v>
                </c:pt>
                <c:pt idx="38">
                  <c:v>39505</c:v>
                </c:pt>
                <c:pt idx="39">
                  <c:v>39596</c:v>
                </c:pt>
                <c:pt idx="40">
                  <c:v>39674</c:v>
                </c:pt>
                <c:pt idx="41">
                  <c:v>39758</c:v>
                </c:pt>
                <c:pt idx="42">
                  <c:v>39856</c:v>
                </c:pt>
                <c:pt idx="43">
                  <c:v>39960</c:v>
                </c:pt>
                <c:pt idx="44">
                  <c:v>40052</c:v>
                </c:pt>
                <c:pt idx="45">
                  <c:v>40122</c:v>
                </c:pt>
                <c:pt idx="46">
                  <c:v>40234</c:v>
                </c:pt>
                <c:pt idx="47">
                  <c:v>40326</c:v>
                </c:pt>
                <c:pt idx="48">
                  <c:v>40403</c:v>
                </c:pt>
                <c:pt idx="49">
                  <c:v>40507</c:v>
                </c:pt>
                <c:pt idx="50">
                  <c:v>40577</c:v>
                </c:pt>
                <c:pt idx="51">
                  <c:v>40682</c:v>
                </c:pt>
                <c:pt idx="52">
                  <c:v>40759</c:v>
                </c:pt>
                <c:pt idx="53">
                  <c:v>40856</c:v>
                </c:pt>
                <c:pt idx="54">
                  <c:v>40961</c:v>
                </c:pt>
                <c:pt idx="55">
                  <c:v>41044</c:v>
                </c:pt>
                <c:pt idx="56">
                  <c:v>41123</c:v>
                </c:pt>
                <c:pt idx="57">
                  <c:v>41235</c:v>
                </c:pt>
                <c:pt idx="58">
                  <c:v>41326</c:v>
                </c:pt>
                <c:pt idx="59">
                  <c:v>41428</c:v>
                </c:pt>
                <c:pt idx="60">
                  <c:v>41494</c:v>
                </c:pt>
                <c:pt idx="61">
                  <c:v>41600</c:v>
                </c:pt>
                <c:pt idx="62">
                  <c:v>41684</c:v>
                </c:pt>
                <c:pt idx="63">
                  <c:v>41782</c:v>
                </c:pt>
                <c:pt idx="64">
                  <c:v>41880</c:v>
                </c:pt>
                <c:pt idx="65">
                  <c:v>41963</c:v>
                </c:pt>
                <c:pt idx="66">
                  <c:v>42045</c:v>
                </c:pt>
                <c:pt idx="67">
                  <c:v>42145</c:v>
                </c:pt>
                <c:pt idx="68">
                  <c:v>42236</c:v>
                </c:pt>
                <c:pt idx="69">
                  <c:v>42327</c:v>
                </c:pt>
                <c:pt idx="70">
                  <c:v>42502</c:v>
                </c:pt>
                <c:pt idx="71">
                  <c:v>42607</c:v>
                </c:pt>
                <c:pt idx="72">
                  <c:v>42699</c:v>
                </c:pt>
              </c:numCache>
            </c:numRef>
          </c:xVal>
          <c:yVal>
            <c:numRef>
              <c:f>Ammonium!$N$3:$N$252</c:f>
              <c:numCache>
                <c:formatCode>General</c:formatCode>
                <c:ptCount val="25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0.04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0.06</c:v>
                </c:pt>
                <c:pt idx="8">
                  <c:v>0.03</c:v>
                </c:pt>
                <c:pt idx="9">
                  <c:v>0.02</c:v>
                </c:pt>
                <c:pt idx="10">
                  <c:v>0.05</c:v>
                </c:pt>
                <c:pt idx="11">
                  <c:v>0.02</c:v>
                </c:pt>
                <c:pt idx="12">
                  <c:v>0.02</c:v>
                </c:pt>
                <c:pt idx="13">
                  <c:v>0.05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5.3999999999999999E-2</c:v>
                </c:pt>
                <c:pt idx="43">
                  <c:v>5.8999999999999997E-2</c:v>
                </c:pt>
                <c:pt idx="44">
                  <c:v>0.03</c:v>
                </c:pt>
                <c:pt idx="45">
                  <c:v>3.6999999999999998E-2</c:v>
                </c:pt>
                <c:pt idx="46">
                  <c:v>0.03</c:v>
                </c:pt>
                <c:pt idx="47">
                  <c:v>0.12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0.04</c:v>
                </c:pt>
                <c:pt idx="53">
                  <c:v>0.03</c:v>
                </c:pt>
                <c:pt idx="54">
                  <c:v>4.2999999999999997E-2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3.1E-2</c:v>
                </c:pt>
                <c:pt idx="68">
                  <c:v>0.03</c:v>
                </c:pt>
                <c:pt idx="69">
                  <c:v>0.03</c:v>
                </c:pt>
                <c:pt idx="70">
                  <c:v>4.2000000000000003E-2</c:v>
                </c:pt>
                <c:pt idx="71">
                  <c:v>0.03</c:v>
                </c:pt>
                <c:pt idx="72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55-4B53-AD2C-6E49158E88D7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Ammonium!$E$57:$E$58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Ammonium!$F$57:$F$58</c:f>
              <c:numCache>
                <c:formatCode>0.000</c:formatCode>
                <c:ptCount val="2"/>
                <c:pt idx="0">
                  <c:v>5.8179464915800186E-2</c:v>
                </c:pt>
                <c:pt idx="1">
                  <c:v>5.8179464915800186E-2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55-4B53-AD2C-6E49158E88D7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Ammonium!$E$57:$E$58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Ammonium!$J$57:$J$58</c:f>
              <c:numCache>
                <c:formatCode>0.000</c:formatCode>
                <c:ptCount val="2"/>
                <c:pt idx="0">
                  <c:v>5.1599801411945617E-2</c:v>
                </c:pt>
                <c:pt idx="1">
                  <c:v>5.1599801411945617E-2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55-4B53-AD2C-6E49158E88D7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Ammonium!$G$122:$G$123</c:f>
              <c:numCache>
                <c:formatCode>d/m/yyyy;@</c:formatCode>
                <c:ptCount val="2"/>
                <c:pt idx="0">
                  <c:v>0.01</c:v>
                </c:pt>
                <c:pt idx="1">
                  <c:v>42699</c:v>
                </c:pt>
              </c:numCache>
            </c:numRef>
          </c:xVal>
          <c:yVal>
            <c:numRef>
              <c:f>Ammonium!$I$122:$I$123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55-4B53-AD2C-6E49158E88D7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Ammonium!$G$122:$G$123</c:f>
              <c:numCache>
                <c:formatCode>d/m/yyyy;@</c:formatCode>
                <c:ptCount val="2"/>
                <c:pt idx="0">
                  <c:v>0.01</c:v>
                </c:pt>
                <c:pt idx="1">
                  <c:v>42699</c:v>
                </c:pt>
              </c:numCache>
            </c:numRef>
          </c:xVal>
          <c:yVal>
            <c:numRef>
              <c:f>Ammonium!$J$122:$J$123</c:f>
              <c:numCache>
                <c:formatCode>General</c:formatCode>
                <c:ptCount val="2"/>
                <c:pt idx="0">
                  <c:v>-5.5830418701201728E-2</c:v>
                </c:pt>
                <c:pt idx="1">
                  <c:v>3.6721799332248187E-2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55-4B53-AD2C-6E49158E88D7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Ammonium!$E$57:$E$58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Ammonium!$G$57:$G$58</c:f>
              <c:numCache>
                <c:formatCode>0.000</c:formatCode>
                <c:ptCount val="2"/>
                <c:pt idx="0">
                  <c:v>6.7110426665562689E-5</c:v>
                </c:pt>
                <c:pt idx="1">
                  <c:v>6.7110426665562689E-5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55-4B53-AD2C-6E49158E88D7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Ammonium!$E$57:$E$58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Ammonium!$H$57:$H$58</c:f>
              <c:numCache>
                <c:formatCode>0.000</c:formatCode>
                <c:ptCount val="2"/>
                <c:pt idx="0">
                  <c:v>6.3611052086207848E-2</c:v>
                </c:pt>
                <c:pt idx="1">
                  <c:v>6.3611052086207848E-2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55-4B53-AD2C-6E49158E88D7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Ammonium!$E$57:$E$58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Ammonium!$K$57:$K$58</c:f>
              <c:numCache>
                <c:formatCode>0.000</c:formatCode>
                <c:ptCount val="2"/>
                <c:pt idx="0">
                  <c:v>5.7876047959525889E-2</c:v>
                </c:pt>
                <c:pt idx="1">
                  <c:v>5.7876047959525889E-2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55-4B53-AD2C-6E49158E8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62400"/>
        <c:axId val="147472384"/>
      </c:scatterChart>
      <c:valAx>
        <c:axId val="147462400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47472384"/>
        <c:crossesAt val="0"/>
        <c:crossBetween val="midCat"/>
        <c:majorUnit val="1461"/>
        <c:minorUnit val="365.25"/>
      </c:valAx>
      <c:valAx>
        <c:axId val="147472384"/>
        <c:scaling>
          <c:orientation val="minMax"/>
          <c:max val="0.15000000000000002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47462400"/>
        <c:crossesAt val="0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Sulfat!$F$63:$F$113</c:f>
              <c:numCache>
                <c:formatCode>General</c:formatCode>
                <c:ptCount val="51"/>
                <c:pt idx="0">
                  <c:v>-175.32369776930543</c:v>
                </c:pt>
                <c:pt idx="1">
                  <c:v>-160.14911051427092</c:v>
                </c:pt>
                <c:pt idx="2">
                  <c:v>-144.97452325923641</c:v>
                </c:pt>
                <c:pt idx="3">
                  <c:v>-129.79993600420195</c:v>
                </c:pt>
                <c:pt idx="4">
                  <c:v>-114.62534874916739</c:v>
                </c:pt>
                <c:pt idx="5">
                  <c:v>-99.450761494132877</c:v>
                </c:pt>
                <c:pt idx="6">
                  <c:v>-84.276174239098367</c:v>
                </c:pt>
                <c:pt idx="7">
                  <c:v>-69.101586984063857</c:v>
                </c:pt>
                <c:pt idx="8">
                  <c:v>-53.926999729029347</c:v>
                </c:pt>
                <c:pt idx="9">
                  <c:v>-38.752412473994838</c:v>
                </c:pt>
                <c:pt idx="10">
                  <c:v>-23.577825218960328</c:v>
                </c:pt>
                <c:pt idx="11">
                  <c:v>-8.4032379639257897</c:v>
                </c:pt>
                <c:pt idx="12">
                  <c:v>6.7713492911086917</c:v>
                </c:pt>
                <c:pt idx="13">
                  <c:v>21.94593654614323</c:v>
                </c:pt>
                <c:pt idx="14">
                  <c:v>37.120523801177711</c:v>
                </c:pt>
                <c:pt idx="15">
                  <c:v>52.295111056212249</c:v>
                </c:pt>
                <c:pt idx="16">
                  <c:v>67.469698311246759</c:v>
                </c:pt>
                <c:pt idx="17">
                  <c:v>82.644285566281269</c:v>
                </c:pt>
                <c:pt idx="18">
                  <c:v>97.818872821315793</c:v>
                </c:pt>
                <c:pt idx="19">
                  <c:v>112.9934600763503</c:v>
                </c:pt>
                <c:pt idx="20">
                  <c:v>128.1680473313848</c:v>
                </c:pt>
                <c:pt idx="21">
                  <c:v>143.34263458641931</c:v>
                </c:pt>
                <c:pt idx="22">
                  <c:v>158.51722184145385</c:v>
                </c:pt>
                <c:pt idx="23">
                  <c:v>173.69180909648836</c:v>
                </c:pt>
                <c:pt idx="24">
                  <c:v>188.86639635152287</c:v>
                </c:pt>
                <c:pt idx="25">
                  <c:v>204.04098360655738</c:v>
                </c:pt>
                <c:pt idx="26">
                  <c:v>219.21557086159189</c:v>
                </c:pt>
                <c:pt idx="27">
                  <c:v>234.3901581166264</c:v>
                </c:pt>
                <c:pt idx="28">
                  <c:v>249.5647453716609</c:v>
                </c:pt>
                <c:pt idx="29">
                  <c:v>264.73933262669618</c:v>
                </c:pt>
                <c:pt idx="30">
                  <c:v>279.91391988173069</c:v>
                </c:pt>
                <c:pt idx="31">
                  <c:v>295.0885071367652</c:v>
                </c:pt>
                <c:pt idx="32">
                  <c:v>310.26309439179971</c:v>
                </c:pt>
                <c:pt idx="33">
                  <c:v>325.43768164683422</c:v>
                </c:pt>
                <c:pt idx="34">
                  <c:v>340.61226890186879</c:v>
                </c:pt>
                <c:pt idx="35">
                  <c:v>355.78685615690324</c:v>
                </c:pt>
                <c:pt idx="36">
                  <c:v>370.96144341193781</c:v>
                </c:pt>
                <c:pt idx="37">
                  <c:v>386.13603066697226</c:v>
                </c:pt>
                <c:pt idx="38">
                  <c:v>401.31061792200683</c:v>
                </c:pt>
                <c:pt idx="39">
                  <c:v>416.48520517704128</c:v>
                </c:pt>
                <c:pt idx="40">
                  <c:v>431.65979243207585</c:v>
                </c:pt>
                <c:pt idx="41">
                  <c:v>446.8343796871103</c:v>
                </c:pt>
                <c:pt idx="42">
                  <c:v>462.00896694214487</c:v>
                </c:pt>
                <c:pt idx="43">
                  <c:v>477.18355419717932</c:v>
                </c:pt>
                <c:pt idx="44">
                  <c:v>492.35814145221389</c:v>
                </c:pt>
                <c:pt idx="45">
                  <c:v>507.53272870724834</c:v>
                </c:pt>
                <c:pt idx="46">
                  <c:v>522.70731596228291</c:v>
                </c:pt>
                <c:pt idx="47">
                  <c:v>537.88190321731747</c:v>
                </c:pt>
                <c:pt idx="48">
                  <c:v>553.05649047235192</c:v>
                </c:pt>
                <c:pt idx="49">
                  <c:v>568.23107772738638</c:v>
                </c:pt>
                <c:pt idx="50">
                  <c:v>583.40566498242015</c:v>
                </c:pt>
              </c:numCache>
            </c:numRef>
          </c:xVal>
          <c:yVal>
            <c:numRef>
              <c:f>Sulfat!$G$63:$G$113</c:f>
              <c:numCache>
                <c:formatCode>General</c:formatCode>
                <c:ptCount val="51"/>
                <c:pt idx="0">
                  <c:v>1.9594859349351264E-8</c:v>
                </c:pt>
                <c:pt idx="1">
                  <c:v>5.2209645303107992E-8</c:v>
                </c:pt>
                <c:pt idx="2">
                  <c:v>1.3365572183351876E-7</c:v>
                </c:pt>
                <c:pt idx="3">
                  <c:v>3.2874002924564958E-7</c:v>
                </c:pt>
                <c:pt idx="4">
                  <c:v>7.7686551556101351E-7</c:v>
                </c:pt>
                <c:pt idx="5">
                  <c:v>1.7638730268658103E-6</c:v>
                </c:pt>
                <c:pt idx="6">
                  <c:v>3.8478400879681299E-6</c:v>
                </c:pt>
                <c:pt idx="7">
                  <c:v>8.0648246944675159E-6</c:v>
                </c:pt>
                <c:pt idx="8">
                  <c:v>1.6240562563758737E-5</c:v>
                </c:pt>
                <c:pt idx="9">
                  <c:v>3.142211595473696E-5</c:v>
                </c:pt>
                <c:pt idx="10">
                  <c:v>5.8411452482407934E-5</c:v>
                </c:pt>
                <c:pt idx="11">
                  <c:v>1.0432509892951241E-4</c:v>
                </c:pt>
                <c:pt idx="12">
                  <c:v>1.7902258566115736E-4</c:v>
                </c:pt>
                <c:pt idx="13">
                  <c:v>2.9515834491528601E-4</c:v>
                </c:pt>
                <c:pt idx="14">
                  <c:v>4.6755265563433262E-4</c:v>
                </c:pt>
                <c:pt idx="15">
                  <c:v>7.1159716710285262E-4</c:v>
                </c:pt>
                <c:pt idx="16">
                  <c:v>1.040557571339552E-3</c:v>
                </c:pt>
                <c:pt idx="17">
                  <c:v>1.4619288526962083E-3</c:v>
                </c:pt>
                <c:pt idx="18">
                  <c:v>1.9733975378614585E-3</c:v>
                </c:pt>
                <c:pt idx="19">
                  <c:v>2.5593586398046822E-3</c:v>
                </c:pt>
                <c:pt idx="20">
                  <c:v>3.1891572462883835E-3</c:v>
                </c:pt>
                <c:pt idx="21">
                  <c:v>3.818114428982191E-3</c:v>
                </c:pt>
                <c:pt idx="22">
                  <c:v>4.3918769886969397E-3</c:v>
                </c:pt>
                <c:pt idx="23">
                  <c:v>4.8537747236735073E-3</c:v>
                </c:pt>
                <c:pt idx="24">
                  <c:v>5.1539153902946345E-3</c:v>
                </c:pt>
                <c:pt idx="25">
                  <c:v>5.2580313875631056E-3</c:v>
                </c:pt>
                <c:pt idx="26">
                  <c:v>5.1539153902946345E-3</c:v>
                </c:pt>
                <c:pt idx="27">
                  <c:v>4.8537747236735073E-3</c:v>
                </c:pt>
                <c:pt idx="28">
                  <c:v>4.3918769886969397E-3</c:v>
                </c:pt>
                <c:pt idx="29">
                  <c:v>3.8181144289821619E-3</c:v>
                </c:pt>
                <c:pt idx="30">
                  <c:v>3.1891572462883514E-3</c:v>
                </c:pt>
                <c:pt idx="31">
                  <c:v>2.5593586398046514E-3</c:v>
                </c:pt>
                <c:pt idx="32">
                  <c:v>1.9733975378614307E-3</c:v>
                </c:pt>
                <c:pt idx="33">
                  <c:v>1.4619288526961855E-3</c:v>
                </c:pt>
                <c:pt idx="34">
                  <c:v>1.0405575713395324E-3</c:v>
                </c:pt>
                <c:pt idx="35">
                  <c:v>7.1159716710283863E-4</c:v>
                </c:pt>
                <c:pt idx="36">
                  <c:v>4.6755265563432205E-4</c:v>
                </c:pt>
                <c:pt idx="37">
                  <c:v>2.9515834491527907E-4</c:v>
                </c:pt>
                <c:pt idx="38">
                  <c:v>1.7902258566115259E-4</c:v>
                </c:pt>
                <c:pt idx="39">
                  <c:v>1.0432509892950951E-4</c:v>
                </c:pt>
                <c:pt idx="40">
                  <c:v>5.8411452482406172E-5</c:v>
                </c:pt>
                <c:pt idx="41">
                  <c:v>3.1422115954736039E-5</c:v>
                </c:pt>
                <c:pt idx="42">
                  <c:v>1.6240562563758144E-5</c:v>
                </c:pt>
                <c:pt idx="43">
                  <c:v>8.0648246944672364E-6</c:v>
                </c:pt>
                <c:pt idx="44">
                  <c:v>3.8478400879679758E-6</c:v>
                </c:pt>
                <c:pt idx="45">
                  <c:v>1.7638730268657415E-6</c:v>
                </c:pt>
                <c:pt idx="46">
                  <c:v>7.7686551556097889E-7</c:v>
                </c:pt>
                <c:pt idx="47">
                  <c:v>3.2874002924563438E-7</c:v>
                </c:pt>
                <c:pt idx="48">
                  <c:v>1.3365572183351211E-7</c:v>
                </c:pt>
                <c:pt idx="49">
                  <c:v>5.2209645303105584E-8</c:v>
                </c:pt>
                <c:pt idx="50">
                  <c:v>1.9594859349351264E-8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F0-49CF-9A1F-4AB3DE479A92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Sulfat!$I$63:$I$113</c:f>
              <c:numCache>
                <c:formatCode>General</c:formatCode>
                <c:ptCount val="51"/>
                <c:pt idx="0">
                  <c:v>-13.725380110961012</c:v>
                </c:pt>
                <c:pt idx="1">
                  <c:v>-9.3754612129710182</c:v>
                </c:pt>
                <c:pt idx="2">
                  <c:v>-4.8062217958825215</c:v>
                </c:pt>
                <c:pt idx="3">
                  <c:v>-6.603839712695958E-3</c:v>
                </c:pt>
                <c:pt idx="4">
                  <c:v>5.0350082148087267</c:v>
                </c:pt>
                <c:pt idx="5">
                  <c:v>10.330815577063788</c:v>
                </c:pt>
                <c:pt idx="6">
                  <c:v>15.89363463470292</c:v>
                </c:pt>
                <c:pt idx="7">
                  <c:v>21.736927970594962</c:v>
                </c:pt>
                <c:pt idx="8">
                  <c:v>27.874836943634847</c:v>
                </c:pt>
                <c:pt idx="9">
                  <c:v>34.322215912257519</c:v>
                </c:pt>
                <c:pt idx="10">
                  <c:v>41.09466818348281</c:v>
                </c:pt>
                <c:pt idx="11">
                  <c:v>48.208583774491217</c:v>
                </c:pt>
                <c:pt idx="12">
                  <c:v>55.68117907811768</c:v>
                </c:pt>
                <c:pt idx="13">
                  <c:v>63.530538528257694</c:v>
                </c:pt>
                <c:pt idx="14">
                  <c:v>71.775658366020366</c:v>
                </c:pt>
                <c:pt idx="15">
                  <c:v>80.436492612546601</c:v>
                </c:pt>
                <c:pt idx="16">
                  <c:v>89.534001359751926</c:v>
                </c:pt>
                <c:pt idx="17">
                  <c:v>99.090201495861606</c:v>
                </c:pt>
                <c:pt idx="18">
                  <c:v>109.12821998849955</c:v>
                </c:pt>
                <c:pt idx="19">
                  <c:v>119.67234985428126</c:v>
                </c:pt>
                <c:pt idx="20">
                  <c:v>130.74810895036288</c:v>
                </c:pt>
                <c:pt idx="21">
                  <c:v>142.38230173022765</c:v>
                </c:pt>
                <c:pt idx="22">
                  <c:v>154.60308411316552</c:v>
                </c:pt>
                <c:pt idx="23">
                  <c:v>167.44003162443585</c:v>
                </c:pt>
                <c:pt idx="24">
                  <c:v>180.92421097101993</c:v>
                </c:pt>
                <c:pt idx="25">
                  <c:v>195.08825522618355</c:v>
                </c:pt>
                <c:pt idx="26">
                  <c:v>209.96644280480359</c:v>
                </c:pt>
                <c:pt idx="27">
                  <c:v>225.59478042058777</c:v>
                </c:pt>
                <c:pt idx="28">
                  <c:v>242.01109022595097</c:v>
                </c:pt>
                <c:pt idx="29">
                  <c:v>259.25510134543799</c:v>
                </c:pt>
                <c:pt idx="30">
                  <c:v>277.36854602420584</c:v>
                </c:pt>
                <c:pt idx="31">
                  <c:v>296.39526062426921</c:v>
                </c:pt>
                <c:pt idx="32">
                  <c:v>316.381291712912</c:v>
                </c:pt>
                <c:pt idx="33">
                  <c:v>337.37500750002255</c:v>
                </c:pt>
                <c:pt idx="34">
                  <c:v>359.42721489403709</c:v>
                </c:pt>
                <c:pt idx="35">
                  <c:v>382.5912824597799</c:v>
                </c:pt>
                <c:pt idx="36">
                  <c:v>406.92326957576933</c:v>
                </c:pt>
                <c:pt idx="37">
                  <c:v>432.48206210356693</c:v>
                </c:pt>
                <c:pt idx="38">
                  <c:v>459.3295148974936</c:v>
                </c:pt>
                <c:pt idx="39">
                  <c:v>487.53060149961834</c:v>
                </c:pt>
                <c:pt idx="40">
                  <c:v>517.15357138227455</c:v>
                </c:pt>
                <c:pt idx="41">
                  <c:v>548.27011511866533</c:v>
                </c:pt>
                <c:pt idx="42">
                  <c:v>580.95553788127654</c:v>
                </c:pt>
                <c:pt idx="43">
                  <c:v>615.28894168798547</c:v>
                </c:pt>
                <c:pt idx="44">
                  <c:v>651.35341683691775</c:v>
                </c:pt>
                <c:pt idx="45">
                  <c:v>689.23624299334449</c:v>
                </c:pt>
                <c:pt idx="46">
                  <c:v>729.02910041527014</c:v>
                </c:pt>
                <c:pt idx="47">
                  <c:v>770.82829182889918</c:v>
                </c:pt>
                <c:pt idx="48">
                  <c:v>814.7349754909402</c:v>
                </c:pt>
                <c:pt idx="49">
                  <c:v>860.85541000178489</c:v>
                </c:pt>
                <c:pt idx="50">
                  <c:v>909.30121146203044</c:v>
                </c:pt>
              </c:numCache>
            </c:numRef>
          </c:xVal>
          <c:yVal>
            <c:numRef>
              <c:f>Sulfat!$J$63:$J$113</c:f>
              <c:numCache>
                <c:formatCode>General</c:formatCode>
                <c:ptCount val="51"/>
                <c:pt idx="0">
                  <c:v>7.0065308527948838E-8</c:v>
                </c:pt>
                <c:pt idx="1">
                  <c:v>1.7772514457981444E-7</c:v>
                </c:pt>
                <c:pt idx="2">
                  <c:v>4.3313465646774691E-7</c:v>
                </c:pt>
                <c:pt idx="3">
                  <c:v>1.0142037530157501E-6</c:v>
                </c:pt>
                <c:pt idx="4">
                  <c:v>2.2816851345998045E-6</c:v>
                </c:pt>
                <c:pt idx="5">
                  <c:v>4.9319019431673281E-6</c:v>
                </c:pt>
                <c:pt idx="6">
                  <c:v>1.0242391554618847E-5</c:v>
                </c:pt>
                <c:pt idx="7">
                  <c:v>2.043697135397961E-5</c:v>
                </c:pt>
                <c:pt idx="8">
                  <c:v>3.9179592866557068E-5</c:v>
                </c:pt>
                <c:pt idx="9">
                  <c:v>7.2165815219156433E-5</c:v>
                </c:pt>
                <c:pt idx="10">
                  <c:v>1.2771189409386269E-4</c:v>
                </c:pt>
                <c:pt idx="11">
                  <c:v>2.1714977848107903E-4</c:v>
                </c:pt>
                <c:pt idx="12">
                  <c:v>3.5474448796331861E-4</c:v>
                </c:pt>
                <c:pt idx="13">
                  <c:v>5.5680117392812927E-4</c:v>
                </c:pt>
                <c:pt idx="14">
                  <c:v>8.3967814409328142E-4</c:v>
                </c:pt>
                <c:pt idx="15">
                  <c:v>1.2166167088800326E-3</c:v>
                </c:pt>
                <c:pt idx="16">
                  <c:v>1.6936471086518782E-3</c:v>
                </c:pt>
                <c:pt idx="17">
                  <c:v>2.2652716723704411E-3</c:v>
                </c:pt>
                <c:pt idx="18">
                  <c:v>2.9110246559330868E-3</c:v>
                </c:pt>
                <c:pt idx="19">
                  <c:v>3.5941789336753644E-3</c:v>
                </c:pt>
                <c:pt idx="20">
                  <c:v>4.263651757511931E-3</c:v>
                </c:pt>
                <c:pt idx="21">
                  <c:v>4.8595043757013786E-3</c:v>
                </c:pt>
                <c:pt idx="22">
                  <c:v>5.321455688890666E-3</c:v>
                </c:pt>
                <c:pt idx="23">
                  <c:v>5.5988282283491618E-3</c:v>
                </c:pt>
                <c:pt idx="24">
                  <c:v>5.6596823580882284E-3</c:v>
                </c:pt>
                <c:pt idx="25">
                  <c:v>5.4968665374018318E-3</c:v>
                </c:pt>
                <c:pt idx="26">
                  <c:v>5.1293997711674153E-3</c:v>
                </c:pt>
                <c:pt idx="27">
                  <c:v>4.5988169605031071E-3</c:v>
                </c:pt>
                <c:pt idx="28">
                  <c:v>3.9614476520864299E-3</c:v>
                </c:pt>
                <c:pt idx="29">
                  <c:v>3.2786113584453913E-3</c:v>
                </c:pt>
                <c:pt idx="30">
                  <c:v>2.6070789169737852E-3</c:v>
                </c:pt>
                <c:pt idx="31">
                  <c:v>1.9918041676729192E-3</c:v>
                </c:pt>
                <c:pt idx="32">
                  <c:v>1.4620671407534166E-3</c:v>
                </c:pt>
                <c:pt idx="33">
                  <c:v>1.031136635522247E-3</c:v>
                </c:pt>
                <c:pt idx="34">
                  <c:v>6.9870417552037143E-4</c:v>
                </c:pt>
                <c:pt idx="35">
                  <c:v>4.5488192551928943E-4</c:v>
                </c:pt>
                <c:pt idx="36">
                  <c:v>2.8453273833313421E-4</c:v>
                </c:pt>
                <c:pt idx="37">
                  <c:v>1.7099917970179586E-4</c:v>
                </c:pt>
                <c:pt idx="38">
                  <c:v>9.8737932983409266E-5</c:v>
                </c:pt>
                <c:pt idx="39">
                  <c:v>5.4777506147729497E-5</c:v>
                </c:pt>
                <c:pt idx="40">
                  <c:v>2.9197704033208477E-5</c:v>
                </c:pt>
                <c:pt idx="41">
                  <c:v>1.4952829055797219E-5</c:v>
                </c:pt>
                <c:pt idx="42">
                  <c:v>7.357431977008696E-6</c:v>
                </c:pt>
                <c:pt idx="43">
                  <c:v>3.4782225261099006E-6</c:v>
                </c:pt>
                <c:pt idx="44">
                  <c:v>1.5798530465379873E-6</c:v>
                </c:pt>
                <c:pt idx="45">
                  <c:v>6.8945232630469701E-7</c:v>
                </c:pt>
                <c:pt idx="46">
                  <c:v>2.8908130816667716E-7</c:v>
                </c:pt>
                <c:pt idx="47">
                  <c:v>1.164565719948803E-7</c:v>
                </c:pt>
                <c:pt idx="48">
                  <c:v>4.5075049631918624E-8</c:v>
                </c:pt>
                <c:pt idx="49">
                  <c:v>1.6762417207364494E-8</c:v>
                </c:pt>
                <c:pt idx="50">
                  <c:v>5.9891514961135393E-9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F0-49CF-9A1F-4AB3DE479A92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Sulfat!$T$46:$T$97</c:f>
              <c:numCache>
                <c:formatCode>0.0</c:formatCode>
                <c:ptCount val="52"/>
                <c:pt idx="0">
                  <c:v>-0.15876000000000001</c:v>
                </c:pt>
                <c:pt idx="1">
                  <c:v>0.15876000000000001</c:v>
                </c:pt>
                <c:pt idx="2">
                  <c:v>15.71724</c:v>
                </c:pt>
                <c:pt idx="3">
                  <c:v>16.034760000000002</c:v>
                </c:pt>
                <c:pt idx="4">
                  <c:v>31.593240000000002</c:v>
                </c:pt>
                <c:pt idx="5">
                  <c:v>31.910760000000003</c:v>
                </c:pt>
                <c:pt idx="6">
                  <c:v>47.469239999999999</c:v>
                </c:pt>
                <c:pt idx="7">
                  <c:v>47.786760000000001</c:v>
                </c:pt>
                <c:pt idx="8">
                  <c:v>63.345240000000004</c:v>
                </c:pt>
                <c:pt idx="9">
                  <c:v>63.662760000000006</c:v>
                </c:pt>
                <c:pt idx="10">
                  <c:v>79.221240000000009</c:v>
                </c:pt>
                <c:pt idx="11">
                  <c:v>79.538760000000011</c:v>
                </c:pt>
                <c:pt idx="12">
                  <c:v>95.097239999999999</c:v>
                </c:pt>
                <c:pt idx="13">
                  <c:v>95.414760000000001</c:v>
                </c:pt>
                <c:pt idx="14">
                  <c:v>110.97324</c:v>
                </c:pt>
                <c:pt idx="15">
                  <c:v>111.29076000000001</c:v>
                </c:pt>
                <c:pt idx="16">
                  <c:v>126.84924000000001</c:v>
                </c:pt>
                <c:pt idx="17">
                  <c:v>127.16676000000001</c:v>
                </c:pt>
                <c:pt idx="18">
                  <c:v>142.72524000000001</c:v>
                </c:pt>
                <c:pt idx="19">
                  <c:v>143.04276000000002</c:v>
                </c:pt>
                <c:pt idx="20">
                  <c:v>158.60124000000002</c:v>
                </c:pt>
                <c:pt idx="21">
                  <c:v>158.91876000000002</c:v>
                </c:pt>
                <c:pt idx="22">
                  <c:v>174.47724000000002</c:v>
                </c:pt>
                <c:pt idx="23">
                  <c:v>174.79476000000003</c:v>
                </c:pt>
                <c:pt idx="24">
                  <c:v>190.35324</c:v>
                </c:pt>
                <c:pt idx="25">
                  <c:v>190.67076</c:v>
                </c:pt>
                <c:pt idx="26">
                  <c:v>206.22924</c:v>
                </c:pt>
                <c:pt idx="27">
                  <c:v>206.54676000000001</c:v>
                </c:pt>
                <c:pt idx="28">
                  <c:v>222.10524000000001</c:v>
                </c:pt>
                <c:pt idx="29">
                  <c:v>222.42276000000001</c:v>
                </c:pt>
                <c:pt idx="30">
                  <c:v>237.98124000000001</c:v>
                </c:pt>
                <c:pt idx="31">
                  <c:v>238.29876000000002</c:v>
                </c:pt>
                <c:pt idx="32">
                  <c:v>253.85724000000002</c:v>
                </c:pt>
                <c:pt idx="33">
                  <c:v>254.17476000000002</c:v>
                </c:pt>
                <c:pt idx="34">
                  <c:v>269.73324000000002</c:v>
                </c:pt>
                <c:pt idx="35">
                  <c:v>270.05075999999997</c:v>
                </c:pt>
                <c:pt idx="36">
                  <c:v>285.60924000000006</c:v>
                </c:pt>
                <c:pt idx="37">
                  <c:v>285.92676</c:v>
                </c:pt>
                <c:pt idx="38">
                  <c:v>301.48524000000003</c:v>
                </c:pt>
                <c:pt idx="39">
                  <c:v>301.80275999999998</c:v>
                </c:pt>
                <c:pt idx="40">
                  <c:v>317.36124000000007</c:v>
                </c:pt>
                <c:pt idx="41">
                  <c:v>317.67876000000001</c:v>
                </c:pt>
                <c:pt idx="42">
                  <c:v>333.23724000000004</c:v>
                </c:pt>
                <c:pt idx="43">
                  <c:v>333.55475999999999</c:v>
                </c:pt>
                <c:pt idx="44">
                  <c:v>349.11324000000008</c:v>
                </c:pt>
                <c:pt idx="45">
                  <c:v>349.43076000000002</c:v>
                </c:pt>
                <c:pt idx="46">
                  <c:v>364.98924000000005</c:v>
                </c:pt>
                <c:pt idx="47">
                  <c:v>365.30676</c:v>
                </c:pt>
                <c:pt idx="48">
                  <c:v>380.86524000000003</c:v>
                </c:pt>
                <c:pt idx="49">
                  <c:v>381.18275999999997</c:v>
                </c:pt>
                <c:pt idx="50">
                  <c:v>396.74124000000006</c:v>
                </c:pt>
                <c:pt idx="51">
                  <c:v>397.05876000000001</c:v>
                </c:pt>
              </c:numCache>
            </c:numRef>
          </c:xVal>
          <c:yVal>
            <c:numRef>
              <c:f>Sulfat!$U$46:$U$97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1.0325927578074339E-3</c:v>
                </c:pt>
                <c:pt idx="12">
                  <c:v>1.0325927578074339E-3</c:v>
                </c:pt>
                <c:pt idx="13">
                  <c:v>1.0325927578074339E-3</c:v>
                </c:pt>
                <c:pt idx="14">
                  <c:v>1.0325927578074339E-3</c:v>
                </c:pt>
                <c:pt idx="15">
                  <c:v>3.0977782734223011E-3</c:v>
                </c:pt>
                <c:pt idx="16">
                  <c:v>3.0977782734223011E-3</c:v>
                </c:pt>
                <c:pt idx="17">
                  <c:v>2.0651855156148678E-3</c:v>
                </c:pt>
                <c:pt idx="18">
                  <c:v>2.0651855156148678E-3</c:v>
                </c:pt>
                <c:pt idx="19">
                  <c:v>5.1629637890371685E-3</c:v>
                </c:pt>
                <c:pt idx="20">
                  <c:v>5.1629637890371685E-3</c:v>
                </c:pt>
                <c:pt idx="21">
                  <c:v>4.1303710312297357E-3</c:v>
                </c:pt>
                <c:pt idx="22">
                  <c:v>4.1303710312297357E-3</c:v>
                </c:pt>
                <c:pt idx="23">
                  <c:v>1.0325927578074337E-2</c:v>
                </c:pt>
                <c:pt idx="24">
                  <c:v>1.0325927578074337E-2</c:v>
                </c:pt>
                <c:pt idx="25">
                  <c:v>7.2281493046520368E-3</c:v>
                </c:pt>
                <c:pt idx="26">
                  <c:v>7.2281493046520368E-3</c:v>
                </c:pt>
                <c:pt idx="27">
                  <c:v>5.1629637890371685E-3</c:v>
                </c:pt>
                <c:pt idx="28">
                  <c:v>5.1629637890371685E-3</c:v>
                </c:pt>
                <c:pt idx="29">
                  <c:v>3.0977782734223011E-3</c:v>
                </c:pt>
                <c:pt idx="30">
                  <c:v>3.0977782734223011E-3</c:v>
                </c:pt>
                <c:pt idx="31">
                  <c:v>2.0651855156148678E-3</c:v>
                </c:pt>
                <c:pt idx="32">
                  <c:v>2.0651855156148678E-3</c:v>
                </c:pt>
                <c:pt idx="33">
                  <c:v>3.0977782734223011E-3</c:v>
                </c:pt>
                <c:pt idx="34">
                  <c:v>3.0977782734223011E-3</c:v>
                </c:pt>
                <c:pt idx="35">
                  <c:v>2.0651855156148678E-3</c:v>
                </c:pt>
                <c:pt idx="36">
                  <c:v>2.0651855156148678E-3</c:v>
                </c:pt>
                <c:pt idx="37">
                  <c:v>1.0325927578074339E-3</c:v>
                </c:pt>
                <c:pt idx="38">
                  <c:v>1.0325927578074339E-3</c:v>
                </c:pt>
                <c:pt idx="39">
                  <c:v>3.0977782734223011E-3</c:v>
                </c:pt>
                <c:pt idx="40">
                  <c:v>3.0977782734223011E-3</c:v>
                </c:pt>
                <c:pt idx="41">
                  <c:v>0</c:v>
                </c:pt>
                <c:pt idx="42">
                  <c:v>0</c:v>
                </c:pt>
                <c:pt idx="43">
                  <c:v>4.1303710312297357E-3</c:v>
                </c:pt>
                <c:pt idx="44">
                  <c:v>4.1303710312297357E-3</c:v>
                </c:pt>
                <c:pt idx="45">
                  <c:v>3.0977782734223011E-3</c:v>
                </c:pt>
                <c:pt idx="46">
                  <c:v>3.0977782734223011E-3</c:v>
                </c:pt>
                <c:pt idx="47">
                  <c:v>1.0325927578074339E-3</c:v>
                </c:pt>
                <c:pt idx="48">
                  <c:v>1.0325927578074339E-3</c:v>
                </c:pt>
                <c:pt idx="49">
                  <c:v>1.0325927578074339E-3</c:v>
                </c:pt>
                <c:pt idx="50">
                  <c:v>1.0325927578074339E-3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F0-49CF-9A1F-4AB3DE479A92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Sulfat!$U$3:$V$3</c:f>
              <c:numCache>
                <c:formatCode>0.000</c:formatCode>
                <c:ptCount val="2"/>
                <c:pt idx="0">
                  <c:v>352.74920610719818</c:v>
                </c:pt>
                <c:pt idx="1">
                  <c:v>352.74920610719818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F0-49CF-9A1F-4AB3DE479A92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Sulfat!$U$4:$V$4</c:f>
              <c:numCache>
                <c:formatCode>0.000</c:formatCode>
                <c:ptCount val="2"/>
                <c:pt idx="0">
                  <c:v>342.22668777459631</c:v>
                </c:pt>
                <c:pt idx="1">
                  <c:v>342.22668777459631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F0-49CF-9A1F-4AB3DE479A92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Sulfat!$U$5:$V$5</c:f>
              <c:numCache>
                <c:formatCode>0.000</c:formatCode>
                <c:ptCount val="2"/>
                <c:pt idx="0">
                  <c:v>380.54782760754125</c:v>
                </c:pt>
                <c:pt idx="1">
                  <c:v>380.54782760754125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F0-49CF-9A1F-4AB3DE479A92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Sulfat!$U$6:$V$6</c:f>
              <c:numCache>
                <c:formatCode>0.000</c:formatCode>
                <c:ptCount val="2"/>
                <c:pt idx="0">
                  <c:v>389.01321607791635</c:v>
                </c:pt>
                <c:pt idx="1">
                  <c:v>389.01321607791635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F0-49CF-9A1F-4AB3DE479A92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Sulfat!$U$7:$V$7</c:f>
              <c:numCache>
                <c:formatCode>0.000</c:formatCode>
                <c:ptCount val="2"/>
                <c:pt idx="0">
                  <c:v>55.332761105916575</c:v>
                </c:pt>
                <c:pt idx="1">
                  <c:v>55.332761105916575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F0-49CF-9A1F-4AB3DE479A92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Sulfat!$U$8:$V$8</c:f>
              <c:numCache>
                <c:formatCode>0.000</c:formatCode>
                <c:ptCount val="2"/>
                <c:pt idx="0">
                  <c:v>5.2052256444532397</c:v>
                </c:pt>
                <c:pt idx="1">
                  <c:v>5.2052256444532397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F0-49CF-9A1F-4AB3DE479A92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Sulfat!$U$11:$V$11</c:f>
              <c:numCache>
                <c:formatCode>0.000</c:formatCode>
                <c:ptCount val="2"/>
                <c:pt idx="0">
                  <c:v>189</c:v>
                </c:pt>
                <c:pt idx="1">
                  <c:v>189</c:v>
                </c:pt>
              </c:numCache>
            </c:numRef>
          </c:xVal>
          <c:yVal>
            <c:numRef>
              <c:f>Sulfat!$U$2:$V$2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F0-49CF-9A1F-4AB3DE47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96800"/>
        <c:axId val="147598336"/>
      </c:scatterChart>
      <c:valAx>
        <c:axId val="147596800"/>
        <c:scaling>
          <c:orientation val="minMax"/>
          <c:max val="5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598336"/>
        <c:crosses val="autoZero"/>
        <c:crossBetween val="midCat"/>
        <c:majorUnit val="100"/>
        <c:minorUnit val="50"/>
      </c:valAx>
      <c:valAx>
        <c:axId val="147598336"/>
        <c:scaling>
          <c:orientation val="minMax"/>
          <c:max val="1.0000000000000002E-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596800"/>
        <c:crosses val="autoZero"/>
        <c:crossBetween val="midCat"/>
        <c:majorUnit val="5.000000000000001E-2"/>
        <c:minorUnit val="1.0000000000000002E-3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39901210050542E-2"/>
          <c:y val="7.5000091552846135E-2"/>
          <c:w val="0.89230830167470343"/>
          <c:h val="0.8125009918224998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pH!$M$3:$M$252</c:f>
              <c:numCache>
                <c:formatCode>d/m/yyyy;@</c:formatCode>
                <c:ptCount val="250"/>
              </c:numCache>
            </c:numRef>
          </c:xVal>
          <c:yVal>
            <c:numRef>
              <c:f>pH!$N$3:$N$252</c:f>
              <c:numCache>
                <c:formatCode>General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89-40DE-9169-0DE55CFB42FB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pH!$E$57:$E$58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pH!$F$57:$F$58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89-40DE-9169-0DE55CFB42FB}"/>
            </c:ext>
          </c:extLst>
        </c:ser>
        <c:ser>
          <c:idx val="9"/>
          <c:order val="2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pH!$G$122:$G$123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89-40DE-9169-0DE55CFB42FB}"/>
            </c:ext>
          </c:extLst>
        </c:ser>
        <c:ser>
          <c:idx val="10"/>
          <c:order val="3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pH!$G$122:$G$123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89-40DE-9169-0DE55CFB42FB}"/>
            </c:ext>
          </c:extLst>
        </c:ser>
        <c:ser>
          <c:idx val="2"/>
          <c:order val="4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pH!$E$57:$E$58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pH!$G$57:$G$58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89-40DE-9169-0DE55CFB42FB}"/>
            </c:ext>
          </c:extLst>
        </c:ser>
        <c:ser>
          <c:idx val="3"/>
          <c:order val="5"/>
          <c:tx>
            <c:v>Q98</c:v>
          </c:tx>
          <c:spPr>
            <a:ln w="22225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pH!$E$57:$E$58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pH!$H$57:$H$58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89-40DE-9169-0DE55CFB42FB}"/>
            </c:ext>
          </c:extLst>
        </c:ser>
        <c:ser>
          <c:idx val="4"/>
          <c:order val="6"/>
          <c:tx>
            <c:v>Q98 u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pH!$E$57:$E$58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pH!$I$57:$I$58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489-40DE-9169-0DE55CFB4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52416"/>
        <c:axId val="132253952"/>
      </c:scatterChart>
      <c:valAx>
        <c:axId val="132252416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2253952"/>
        <c:crossesAt val="0"/>
        <c:crossBetween val="midCat"/>
        <c:majorUnit val="1461"/>
        <c:minorUnit val="365.25"/>
      </c:valAx>
      <c:valAx>
        <c:axId val="132253952"/>
        <c:scaling>
          <c:orientation val="minMax"/>
          <c:max val="5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2252416"/>
        <c:crossesAt val="0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78741312514554551"/>
          <c:y val="3.0000036621138454E-2"/>
          <c:w val="0.12535081976805848"/>
          <c:h val="0.24222677165354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Sulfat!$M$3:$M$252</c:f>
              <c:numCache>
                <c:formatCode>d/m/yyyy;@</c:formatCode>
                <c:ptCount val="250"/>
                <c:pt idx="0">
                  <c:v>35908</c:v>
                </c:pt>
                <c:pt idx="1">
                  <c:v>36108</c:v>
                </c:pt>
                <c:pt idx="2">
                  <c:v>36251</c:v>
                </c:pt>
                <c:pt idx="3">
                  <c:v>36276</c:v>
                </c:pt>
                <c:pt idx="4">
                  <c:v>36434</c:v>
                </c:pt>
                <c:pt idx="5">
                  <c:v>36651</c:v>
                </c:pt>
                <c:pt idx="6">
                  <c:v>36838</c:v>
                </c:pt>
                <c:pt idx="7">
                  <c:v>37006</c:v>
                </c:pt>
                <c:pt idx="8">
                  <c:v>37172</c:v>
                </c:pt>
                <c:pt idx="9">
                  <c:v>37354</c:v>
                </c:pt>
                <c:pt idx="10">
                  <c:v>37573</c:v>
                </c:pt>
                <c:pt idx="11">
                  <c:v>37750</c:v>
                </c:pt>
                <c:pt idx="12">
                  <c:v>37930</c:v>
                </c:pt>
                <c:pt idx="13">
                  <c:v>38183</c:v>
                </c:pt>
                <c:pt idx="14">
                  <c:v>38281</c:v>
                </c:pt>
                <c:pt idx="15">
                  <c:v>38344</c:v>
                </c:pt>
                <c:pt idx="16">
                  <c:v>38391</c:v>
                </c:pt>
                <c:pt idx="17">
                  <c:v>38460</c:v>
                </c:pt>
                <c:pt idx="18">
                  <c:v>38553</c:v>
                </c:pt>
                <c:pt idx="19">
                  <c:v>38701</c:v>
                </c:pt>
                <c:pt idx="20">
                  <c:v>39079</c:v>
                </c:pt>
                <c:pt idx="21">
                  <c:v>39127</c:v>
                </c:pt>
                <c:pt idx="22">
                  <c:v>39226</c:v>
                </c:pt>
                <c:pt idx="23">
                  <c:v>39308</c:v>
                </c:pt>
                <c:pt idx="24">
                  <c:v>39408</c:v>
                </c:pt>
                <c:pt idx="25">
                  <c:v>39505</c:v>
                </c:pt>
                <c:pt idx="26">
                  <c:v>39596</c:v>
                </c:pt>
                <c:pt idx="27">
                  <c:v>39674</c:v>
                </c:pt>
                <c:pt idx="28">
                  <c:v>39758</c:v>
                </c:pt>
                <c:pt idx="29">
                  <c:v>39856</c:v>
                </c:pt>
                <c:pt idx="30">
                  <c:v>39960</c:v>
                </c:pt>
                <c:pt idx="31">
                  <c:v>40052</c:v>
                </c:pt>
                <c:pt idx="32">
                  <c:v>40122</c:v>
                </c:pt>
                <c:pt idx="33">
                  <c:v>40234</c:v>
                </c:pt>
                <c:pt idx="34">
                  <c:v>40326</c:v>
                </c:pt>
                <c:pt idx="35">
                  <c:v>40403</c:v>
                </c:pt>
                <c:pt idx="36">
                  <c:v>40507</c:v>
                </c:pt>
                <c:pt idx="37">
                  <c:v>40577</c:v>
                </c:pt>
                <c:pt idx="38">
                  <c:v>40682</c:v>
                </c:pt>
                <c:pt idx="39">
                  <c:v>40759</c:v>
                </c:pt>
                <c:pt idx="40">
                  <c:v>40856</c:v>
                </c:pt>
                <c:pt idx="41">
                  <c:v>40961</c:v>
                </c:pt>
                <c:pt idx="42">
                  <c:v>41044</c:v>
                </c:pt>
                <c:pt idx="43">
                  <c:v>41123</c:v>
                </c:pt>
                <c:pt idx="44">
                  <c:v>41235</c:v>
                </c:pt>
                <c:pt idx="45">
                  <c:v>41326</c:v>
                </c:pt>
                <c:pt idx="46">
                  <c:v>41428</c:v>
                </c:pt>
                <c:pt idx="47">
                  <c:v>41494</c:v>
                </c:pt>
                <c:pt idx="48">
                  <c:v>41600</c:v>
                </c:pt>
                <c:pt idx="49">
                  <c:v>41684</c:v>
                </c:pt>
                <c:pt idx="50">
                  <c:v>41782</c:v>
                </c:pt>
                <c:pt idx="51">
                  <c:v>41880</c:v>
                </c:pt>
                <c:pt idx="52">
                  <c:v>41963</c:v>
                </c:pt>
                <c:pt idx="53">
                  <c:v>42045</c:v>
                </c:pt>
                <c:pt idx="54">
                  <c:v>42145</c:v>
                </c:pt>
                <c:pt idx="55">
                  <c:v>42236</c:v>
                </c:pt>
                <c:pt idx="56">
                  <c:v>42327</c:v>
                </c:pt>
                <c:pt idx="57">
                  <c:v>42417</c:v>
                </c:pt>
                <c:pt idx="58">
                  <c:v>42502</c:v>
                </c:pt>
                <c:pt idx="59">
                  <c:v>42607</c:v>
                </c:pt>
                <c:pt idx="60">
                  <c:v>42699</c:v>
                </c:pt>
              </c:numCache>
            </c:numRef>
          </c:xVal>
          <c:yVal>
            <c:numRef>
              <c:f>Sulfat!$N$3:$N$252</c:f>
              <c:numCache>
                <c:formatCode>General</c:formatCode>
                <c:ptCount val="250"/>
                <c:pt idx="0">
                  <c:v>250</c:v>
                </c:pt>
                <c:pt idx="1">
                  <c:v>250</c:v>
                </c:pt>
                <c:pt idx="2">
                  <c:v>130</c:v>
                </c:pt>
                <c:pt idx="3">
                  <c:v>130</c:v>
                </c:pt>
                <c:pt idx="4">
                  <c:v>168</c:v>
                </c:pt>
                <c:pt idx="5">
                  <c:v>164</c:v>
                </c:pt>
                <c:pt idx="6">
                  <c:v>165</c:v>
                </c:pt>
                <c:pt idx="7">
                  <c:v>189</c:v>
                </c:pt>
                <c:pt idx="8">
                  <c:v>209</c:v>
                </c:pt>
                <c:pt idx="9">
                  <c:v>88.5</c:v>
                </c:pt>
                <c:pt idx="10">
                  <c:v>266</c:v>
                </c:pt>
                <c:pt idx="11">
                  <c:v>129</c:v>
                </c:pt>
                <c:pt idx="12">
                  <c:v>166</c:v>
                </c:pt>
                <c:pt idx="13">
                  <c:v>120</c:v>
                </c:pt>
                <c:pt idx="14">
                  <c:v>290</c:v>
                </c:pt>
                <c:pt idx="15">
                  <c:v>130</c:v>
                </c:pt>
                <c:pt idx="16">
                  <c:v>170</c:v>
                </c:pt>
                <c:pt idx="17">
                  <c:v>69</c:v>
                </c:pt>
                <c:pt idx="18">
                  <c:v>96</c:v>
                </c:pt>
                <c:pt idx="19">
                  <c:v>100</c:v>
                </c:pt>
                <c:pt idx="20">
                  <c:v>99</c:v>
                </c:pt>
                <c:pt idx="21">
                  <c:v>160</c:v>
                </c:pt>
                <c:pt idx="22">
                  <c:v>180</c:v>
                </c:pt>
                <c:pt idx="23">
                  <c:v>190</c:v>
                </c:pt>
                <c:pt idx="24">
                  <c:v>130</c:v>
                </c:pt>
                <c:pt idx="25">
                  <c:v>160</c:v>
                </c:pt>
                <c:pt idx="26">
                  <c:v>150</c:v>
                </c:pt>
                <c:pt idx="27">
                  <c:v>199</c:v>
                </c:pt>
                <c:pt idx="28">
                  <c:v>157</c:v>
                </c:pt>
                <c:pt idx="29">
                  <c:v>159</c:v>
                </c:pt>
                <c:pt idx="30">
                  <c:v>220</c:v>
                </c:pt>
                <c:pt idx="31">
                  <c:v>190</c:v>
                </c:pt>
                <c:pt idx="32">
                  <c:v>178</c:v>
                </c:pt>
                <c:pt idx="33">
                  <c:v>194</c:v>
                </c:pt>
                <c:pt idx="34">
                  <c:v>160</c:v>
                </c:pt>
                <c:pt idx="35">
                  <c:v>271</c:v>
                </c:pt>
                <c:pt idx="36">
                  <c:v>154</c:v>
                </c:pt>
                <c:pt idx="37">
                  <c:v>291</c:v>
                </c:pt>
                <c:pt idx="38">
                  <c:v>172</c:v>
                </c:pt>
                <c:pt idx="39">
                  <c:v>175</c:v>
                </c:pt>
                <c:pt idx="40">
                  <c:v>187</c:v>
                </c:pt>
                <c:pt idx="41">
                  <c:v>256</c:v>
                </c:pt>
                <c:pt idx="42">
                  <c:v>378</c:v>
                </c:pt>
                <c:pt idx="43">
                  <c:v>335</c:v>
                </c:pt>
                <c:pt idx="44">
                  <c:v>323</c:v>
                </c:pt>
                <c:pt idx="45">
                  <c:v>325</c:v>
                </c:pt>
                <c:pt idx="46">
                  <c:v>194</c:v>
                </c:pt>
                <c:pt idx="47">
                  <c:v>227</c:v>
                </c:pt>
                <c:pt idx="48">
                  <c:v>295</c:v>
                </c:pt>
                <c:pt idx="49">
                  <c:v>225</c:v>
                </c:pt>
                <c:pt idx="50">
                  <c:v>345</c:v>
                </c:pt>
                <c:pt idx="51">
                  <c:v>339</c:v>
                </c:pt>
                <c:pt idx="52">
                  <c:v>251</c:v>
                </c:pt>
                <c:pt idx="53">
                  <c:v>196</c:v>
                </c:pt>
                <c:pt idx="54">
                  <c:v>222</c:v>
                </c:pt>
                <c:pt idx="55">
                  <c:v>319</c:v>
                </c:pt>
                <c:pt idx="56">
                  <c:v>357</c:v>
                </c:pt>
                <c:pt idx="57">
                  <c:v>330</c:v>
                </c:pt>
                <c:pt idx="58">
                  <c:v>143</c:v>
                </c:pt>
                <c:pt idx="59">
                  <c:v>205</c:v>
                </c:pt>
                <c:pt idx="60">
                  <c:v>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3A-4BC1-83BC-5C7972F7E718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Sulfat!$E$57:$E$58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Sulfat!$F$57:$F$58</c:f>
              <c:numCache>
                <c:formatCode>0.000</c:formatCode>
                <c:ptCount val="2"/>
                <c:pt idx="0">
                  <c:v>352.74920610719818</c:v>
                </c:pt>
                <c:pt idx="1">
                  <c:v>352.74920610719818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3A-4BC1-83BC-5C7972F7E718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Sulfat!$E$57:$E$58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Sulfat!$J$57:$J$58</c:f>
              <c:numCache>
                <c:formatCode>0.000</c:formatCode>
                <c:ptCount val="2"/>
                <c:pt idx="0">
                  <c:v>342.22668777459631</c:v>
                </c:pt>
                <c:pt idx="1">
                  <c:v>342.22668777459631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3A-4BC1-83BC-5C7972F7E718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Sulfat!$G$122:$G$123</c:f>
              <c:numCache>
                <c:formatCode>d/m/yyyy;@</c:formatCode>
                <c:ptCount val="2"/>
                <c:pt idx="0">
                  <c:v>69</c:v>
                </c:pt>
                <c:pt idx="1">
                  <c:v>42699</c:v>
                </c:pt>
              </c:numCache>
            </c:numRef>
          </c:xVal>
          <c:yVal>
            <c:numRef>
              <c:f>Sulfat!$I$122:$I$123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3A-4BC1-83BC-5C7972F7E718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Sulfat!$G$122:$G$123</c:f>
              <c:numCache>
                <c:formatCode>d/m/yyyy;@</c:formatCode>
                <c:ptCount val="2"/>
                <c:pt idx="0">
                  <c:v>69</c:v>
                </c:pt>
                <c:pt idx="1">
                  <c:v>42699</c:v>
                </c:pt>
              </c:numCache>
            </c:numRef>
          </c:xVal>
          <c:yVal>
            <c:numRef>
              <c:f>Sulfat!$J$122:$J$123</c:f>
              <c:numCache>
                <c:formatCode>General</c:formatCode>
                <c:ptCount val="2"/>
                <c:pt idx="0">
                  <c:v>-500.42001135395634</c:v>
                </c:pt>
                <c:pt idx="1">
                  <c:v>256.73052964314229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C3A-4BC1-83BC-5C7972F7E718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Sulfat!$E$57:$E$58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Sulfat!$G$57:$G$58</c:f>
              <c:numCache>
                <c:formatCode>0.000</c:formatCode>
                <c:ptCount val="2"/>
                <c:pt idx="0">
                  <c:v>55.332761105916575</c:v>
                </c:pt>
                <c:pt idx="1">
                  <c:v>55.332761105916575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3A-4BC1-83BC-5C7972F7E718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Sulfat!$E$57:$E$58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Sulfat!$H$57:$H$58</c:f>
              <c:numCache>
                <c:formatCode>0.000</c:formatCode>
                <c:ptCount val="2"/>
                <c:pt idx="0">
                  <c:v>380.54782760754125</c:v>
                </c:pt>
                <c:pt idx="1">
                  <c:v>380.54782760754125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C3A-4BC1-83BC-5C7972F7E718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Sulfat!$E$57:$E$58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Sulfat!$K$57:$K$58</c:f>
              <c:numCache>
                <c:formatCode>0.000</c:formatCode>
                <c:ptCount val="2"/>
                <c:pt idx="0">
                  <c:v>389.01321607791635</c:v>
                </c:pt>
                <c:pt idx="1">
                  <c:v>389.01321607791635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C3A-4BC1-83BC-5C7972F7E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6192"/>
        <c:axId val="150537728"/>
      </c:scatterChart>
      <c:valAx>
        <c:axId val="15053619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537728"/>
        <c:crossesAt val="0"/>
        <c:crossBetween val="midCat"/>
        <c:majorUnit val="1461"/>
        <c:minorUnit val="365.25"/>
      </c:valAx>
      <c:valAx>
        <c:axId val="150537728"/>
        <c:scaling>
          <c:orientation val="minMax"/>
          <c:max val="5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536192"/>
        <c:crossesAt val="0"/>
        <c:crossBetween val="midCat"/>
        <c:majorUnit val="5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Chlorid!$F$63:$F$113</c:f>
              <c:numCache>
                <c:formatCode>General</c:formatCode>
                <c:ptCount val="51"/>
                <c:pt idx="0">
                  <c:v>-83.088664428671308</c:v>
                </c:pt>
                <c:pt idx="1">
                  <c:v>-74.92349622990281</c:v>
                </c:pt>
                <c:pt idx="2">
                  <c:v>-66.75832803113434</c:v>
                </c:pt>
                <c:pt idx="3">
                  <c:v>-58.593159832365899</c:v>
                </c:pt>
                <c:pt idx="4">
                  <c:v>-50.427991633597401</c:v>
                </c:pt>
                <c:pt idx="5">
                  <c:v>-42.262823434828931</c:v>
                </c:pt>
                <c:pt idx="6">
                  <c:v>-34.097655236060461</c:v>
                </c:pt>
                <c:pt idx="7">
                  <c:v>-25.932487037291992</c:v>
                </c:pt>
                <c:pt idx="8">
                  <c:v>-17.767318838523494</c:v>
                </c:pt>
                <c:pt idx="9">
                  <c:v>-9.6021506397550525</c:v>
                </c:pt>
                <c:pt idx="10">
                  <c:v>-1.4369824409865544</c:v>
                </c:pt>
                <c:pt idx="11">
                  <c:v>6.7281857577819153</c:v>
                </c:pt>
                <c:pt idx="12">
                  <c:v>14.893353956550385</c:v>
                </c:pt>
                <c:pt idx="13">
                  <c:v>23.058522155318869</c:v>
                </c:pt>
                <c:pt idx="14">
                  <c:v>31.223690354087324</c:v>
                </c:pt>
                <c:pt idx="15">
                  <c:v>39.388858552855808</c:v>
                </c:pt>
                <c:pt idx="16">
                  <c:v>47.554026751624278</c:v>
                </c:pt>
                <c:pt idx="17">
                  <c:v>55.719194950392748</c:v>
                </c:pt>
                <c:pt idx="18">
                  <c:v>63.884363149161231</c:v>
                </c:pt>
                <c:pt idx="19">
                  <c:v>72.049531347929701</c:v>
                </c:pt>
                <c:pt idx="20">
                  <c:v>80.214699546698171</c:v>
                </c:pt>
                <c:pt idx="21">
                  <c:v>88.37986774546664</c:v>
                </c:pt>
                <c:pt idx="22">
                  <c:v>96.545035944235124</c:v>
                </c:pt>
                <c:pt idx="23">
                  <c:v>104.71020414300359</c:v>
                </c:pt>
                <c:pt idx="24">
                  <c:v>112.87537234177208</c:v>
                </c:pt>
                <c:pt idx="25">
                  <c:v>121.04054054054055</c:v>
                </c:pt>
                <c:pt idx="26">
                  <c:v>129.20570873930902</c:v>
                </c:pt>
                <c:pt idx="27">
                  <c:v>137.37087693807749</c:v>
                </c:pt>
                <c:pt idx="28">
                  <c:v>145.53604513684596</c:v>
                </c:pt>
                <c:pt idx="29">
                  <c:v>153.70121333561485</c:v>
                </c:pt>
                <c:pt idx="30">
                  <c:v>161.86638153438332</c:v>
                </c:pt>
                <c:pt idx="31">
                  <c:v>170.03154973315179</c:v>
                </c:pt>
                <c:pt idx="32">
                  <c:v>178.19671793192026</c:v>
                </c:pt>
                <c:pt idx="33">
                  <c:v>186.36188613068873</c:v>
                </c:pt>
                <c:pt idx="34">
                  <c:v>194.52705432945723</c:v>
                </c:pt>
                <c:pt idx="35">
                  <c:v>202.6922225282257</c:v>
                </c:pt>
                <c:pt idx="36">
                  <c:v>210.85739072699417</c:v>
                </c:pt>
                <c:pt idx="37">
                  <c:v>219.02255892576267</c:v>
                </c:pt>
                <c:pt idx="38">
                  <c:v>227.18772712453111</c:v>
                </c:pt>
                <c:pt idx="39">
                  <c:v>235.35289532329961</c:v>
                </c:pt>
                <c:pt idx="40">
                  <c:v>243.51806352206808</c:v>
                </c:pt>
                <c:pt idx="41">
                  <c:v>251.68323172083655</c:v>
                </c:pt>
                <c:pt idx="42">
                  <c:v>259.84839991960501</c:v>
                </c:pt>
                <c:pt idx="43">
                  <c:v>268.01356811837348</c:v>
                </c:pt>
                <c:pt idx="44">
                  <c:v>276.17873631714195</c:v>
                </c:pt>
                <c:pt idx="45">
                  <c:v>284.34390451591042</c:v>
                </c:pt>
                <c:pt idx="46">
                  <c:v>292.50907271467889</c:v>
                </c:pt>
                <c:pt idx="47">
                  <c:v>300.67424091344742</c:v>
                </c:pt>
                <c:pt idx="48">
                  <c:v>308.83940911221589</c:v>
                </c:pt>
                <c:pt idx="49">
                  <c:v>317.0045773109843</c:v>
                </c:pt>
                <c:pt idx="50">
                  <c:v>325.16974550975237</c:v>
                </c:pt>
              </c:numCache>
            </c:numRef>
          </c:xVal>
          <c:yVal>
            <c:numRef>
              <c:f>Chlorid!$G$63:$G$113</c:f>
              <c:numCache>
                <c:formatCode>General</c:formatCode>
                <c:ptCount val="51"/>
                <c:pt idx="0">
                  <c:v>3.641613935052887E-8</c:v>
                </c:pt>
                <c:pt idx="1">
                  <c:v>9.7029209799488146E-8</c:v>
                </c:pt>
                <c:pt idx="2">
                  <c:v>2.4839297412186242E-7</c:v>
                </c:pt>
                <c:pt idx="3">
                  <c:v>6.109481319396587E-7</c:v>
                </c:pt>
                <c:pt idx="4">
                  <c:v>1.443768611292785E-6</c:v>
                </c:pt>
                <c:pt idx="5">
                  <c:v>3.2780763973746565E-6</c:v>
                </c:pt>
                <c:pt idx="6">
                  <c:v>7.1510327450570692E-6</c:v>
                </c:pt>
                <c:pt idx="7">
                  <c:v>1.4988103495677238E-5</c:v>
                </c:pt>
                <c:pt idx="8">
                  <c:v>3.018233399426781E-5</c:v>
                </c:pt>
                <c:pt idx="9">
                  <c:v>5.8396548446471013E-5</c:v>
                </c:pt>
                <c:pt idx="10">
                  <c:v>1.0855498145418359E-4</c:v>
                </c:pt>
                <c:pt idx="11">
                  <c:v>1.9388336872653352E-4</c:v>
                </c:pt>
                <c:pt idx="12">
                  <c:v>3.327051911982484E-4</c:v>
                </c:pt>
                <c:pt idx="13">
                  <c:v>5.4853812560090543E-4</c:v>
                </c:pt>
                <c:pt idx="14">
                  <c:v>8.6892497454202952E-4</c:v>
                </c:pt>
                <c:pt idx="15">
                  <c:v>1.3224704059698693E-3</c:v>
                </c:pt>
                <c:pt idx="16">
                  <c:v>1.9338280946325625E-3</c:v>
                </c:pt>
                <c:pt idx="17">
                  <c:v>2.7169271221182032E-3</c:v>
                </c:pt>
                <c:pt idx="18">
                  <c:v>3.6674680053333819E-3</c:v>
                </c:pt>
                <c:pt idx="19">
                  <c:v>4.7564495980009667E-3</c:v>
                </c:pt>
                <c:pt idx="20">
                  <c:v>5.9269011642807063E-3</c:v>
                </c:pt>
                <c:pt idx="21">
                  <c:v>7.0957889833837325E-3</c:v>
                </c:pt>
                <c:pt idx="22">
                  <c:v>8.1621001498060706E-3</c:v>
                </c:pt>
                <c:pt idx="23">
                  <c:v>9.0205157159865563E-3</c:v>
                </c:pt>
                <c:pt idx="24">
                  <c:v>9.5783132559213082E-3</c:v>
                </c:pt>
                <c:pt idx="25">
                  <c:v>9.7718080188869561E-3</c:v>
                </c:pt>
                <c:pt idx="26">
                  <c:v>9.5783132559213082E-3</c:v>
                </c:pt>
                <c:pt idx="27">
                  <c:v>9.020515715986558E-3</c:v>
                </c:pt>
                <c:pt idx="28">
                  <c:v>8.1621001498060741E-3</c:v>
                </c:pt>
                <c:pt idx="29">
                  <c:v>7.095788983383677E-3</c:v>
                </c:pt>
                <c:pt idx="30">
                  <c:v>5.9269011642806473E-3</c:v>
                </c:pt>
                <c:pt idx="31">
                  <c:v>4.7564495980009121E-3</c:v>
                </c:pt>
                <c:pt idx="32">
                  <c:v>3.6674680053333311E-3</c:v>
                </c:pt>
                <c:pt idx="33">
                  <c:v>2.7169271221181629E-3</c:v>
                </c:pt>
                <c:pt idx="34">
                  <c:v>1.9338280946325269E-3</c:v>
                </c:pt>
                <c:pt idx="35">
                  <c:v>1.3224704059698424E-3</c:v>
                </c:pt>
                <c:pt idx="36">
                  <c:v>8.6892497454201087E-4</c:v>
                </c:pt>
                <c:pt idx="37">
                  <c:v>5.4853812560089167E-4</c:v>
                </c:pt>
                <c:pt idx="38">
                  <c:v>3.3270519119824E-4</c:v>
                </c:pt>
                <c:pt idx="39">
                  <c:v>1.9388336872652772E-4</c:v>
                </c:pt>
                <c:pt idx="40">
                  <c:v>1.0855498145418034E-4</c:v>
                </c:pt>
                <c:pt idx="41">
                  <c:v>5.8396548446469251E-5</c:v>
                </c:pt>
                <c:pt idx="42">
                  <c:v>3.0182333994266739E-5</c:v>
                </c:pt>
                <c:pt idx="43">
                  <c:v>1.4988103495676719E-5</c:v>
                </c:pt>
                <c:pt idx="44">
                  <c:v>7.1510327450568023E-6</c:v>
                </c:pt>
                <c:pt idx="45">
                  <c:v>3.2780763973745286E-6</c:v>
                </c:pt>
                <c:pt idx="46">
                  <c:v>1.4437686112927259E-6</c:v>
                </c:pt>
                <c:pt idx="47">
                  <c:v>6.1094813193963043E-7</c:v>
                </c:pt>
                <c:pt idx="48">
                  <c:v>2.4839297412184924E-7</c:v>
                </c:pt>
                <c:pt idx="49">
                  <c:v>9.7029209799483673E-8</c:v>
                </c:pt>
                <c:pt idx="50">
                  <c:v>3.6416139350528996E-8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41-464F-A754-3FFA5864CA57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Chlorid!$I$63:$I$113</c:f>
              <c:numCache>
                <c:formatCode>General</c:formatCode>
                <c:ptCount val="51"/>
                <c:pt idx="0">
                  <c:v>1.610154718025818</c:v>
                </c:pt>
                <c:pt idx="1">
                  <c:v>4.0848659679263761</c:v>
                </c:pt>
                <c:pt idx="2">
                  <c:v>6.6782398299397343</c:v>
                </c:pt>
                <c:pt idx="3">
                  <c:v>9.3959661862748334</c:v>
                </c:pt>
                <c:pt idx="4">
                  <c:v>12.244007749470377</c:v>
                </c:pt>
                <c:pt idx="5">
                  <c:v>15.228613144631339</c:v>
                </c:pt>
                <c:pt idx="6">
                  <c:v>18.356330618961067</c:v>
                </c:pt>
                <c:pt idx="7">
                  <c:v>21.634022408665871</c:v>
                </c:pt>
                <c:pt idx="8">
                  <c:v>25.06887979475384</c:v>
                </c:pt>
                <c:pt idx="9">
                  <c:v>28.668438880761087</c:v>
                </c:pt>
                <c:pt idx="10">
                  <c:v>32.440597127020666</c:v>
                </c:pt>
                <c:pt idx="11">
                  <c:v>36.393630677751432</c:v>
                </c:pt>
                <c:pt idx="12">
                  <c:v>40.536212518981827</c:v>
                </c:pt>
                <c:pt idx="13">
                  <c:v>44.877431507148458</c:v>
                </c:pt>
                <c:pt idx="14">
                  <c:v>49.426812310116745</c:v>
                </c:pt>
                <c:pt idx="15">
                  <c:v>54.194336304375639</c:v>
                </c:pt>
                <c:pt idx="16">
                  <c:v>59.190463474254102</c:v>
                </c:pt>
                <c:pt idx="17">
                  <c:v>64.42615536120779</c:v>
                </c:pt>
                <c:pt idx="18">
                  <c:v>69.912899113524929</c:v>
                </c:pt>
                <c:pt idx="19">
                  <c:v>75.662732689218345</c:v>
                </c:pt>
                <c:pt idx="20">
                  <c:v>81.688271267397397</c:v>
                </c:pt>
                <c:pt idx="21">
                  <c:v>88.002734926068854</c:v>
                </c:pt>
                <c:pt idx="22">
                  <c:v>94.619977647089115</c:v>
                </c:pt>
                <c:pt idx="23">
                  <c:v>101.55451771190749</c:v>
                </c:pt>
                <c:pt idx="24">
                  <c:v>108.82156955478669</c:v>
                </c:pt>
                <c:pt idx="25">
                  <c:v>116.43707714338959</c:v>
                </c:pt>
                <c:pt idx="26">
                  <c:v>124.4177489599663</c:v>
                </c:pt>
                <c:pt idx="27">
                  <c:v>132.78109465989311</c:v>
                </c:pt>
                <c:pt idx="28">
                  <c:v>141.54546348799121</c:v>
                </c:pt>
                <c:pt idx="29">
                  <c:v>150.73008453691077</c:v>
                </c:pt>
                <c:pt idx="30">
                  <c:v>160.35510893590725</c:v>
                </c:pt>
                <c:pt idx="31">
                  <c:v>170.44165406257645</c:v>
                </c:pt>
                <c:pt idx="32">
                  <c:v>181.0118498745415</c:v>
                </c:pt>
                <c:pt idx="33">
                  <c:v>192.08888746275093</c:v>
                </c:pt>
                <c:pt idx="34">
                  <c:v>203.6970699329099</c:v>
                </c:pt>
                <c:pt idx="35">
                  <c:v>215.86186572668225</c:v>
                </c:pt>
                <c:pt idx="36">
                  <c:v>228.60996449964671</c:v>
                </c:pt>
                <c:pt idx="37">
                  <c:v>241.96933567860714</c:v>
                </c:pt>
                <c:pt idx="38">
                  <c:v>255.9692898267291</c:v>
                </c:pt>
                <c:pt idx="39">
                  <c:v>270.64054295114238</c:v>
                </c:pt>
                <c:pt idx="40">
                  <c:v>286.01528389409623</c:v>
                </c:pt>
                <c:pt idx="41">
                  <c:v>302.12724495552698</c:v>
                </c:pt>
                <c:pt idx="42">
                  <c:v>319.01177590198409</c:v>
                </c:pt>
                <c:pt idx="43">
                  <c:v>336.70592152428878</c:v>
                </c:pt>
                <c:pt idx="44">
                  <c:v>355.24850291409177</c:v>
                </c:pt>
                <c:pt idx="45">
                  <c:v>374.68020263764652</c:v>
                </c:pt>
                <c:pt idx="46">
                  <c:v>395.04365399367128</c:v>
                </c:pt>
                <c:pt idx="47">
                  <c:v>416.38353455113679</c:v>
                </c:pt>
                <c:pt idx="48">
                  <c:v>438.7466641721951</c:v>
                </c:pt>
                <c:pt idx="49">
                  <c:v>462.18210773531723</c:v>
                </c:pt>
                <c:pt idx="50">
                  <c:v>486.74128278401406</c:v>
                </c:pt>
              </c:numCache>
            </c:numRef>
          </c:xVal>
          <c:yVal>
            <c:numRef>
              <c:f>Chlorid!$J$63:$J$113</c:f>
              <c:numCache>
                <c:formatCode>General</c:formatCode>
                <c:ptCount val="51"/>
                <c:pt idx="0">
                  <c:v>1.2301115531356818E-7</c:v>
                </c:pt>
                <c:pt idx="1">
                  <c:v>3.1276092786392731E-7</c:v>
                </c:pt>
                <c:pt idx="2">
                  <c:v>7.6402700471706032E-7</c:v>
                </c:pt>
                <c:pt idx="3">
                  <c:v>1.7932182330468608E-6</c:v>
                </c:pt>
                <c:pt idx="4">
                  <c:v>4.04376401948241E-6</c:v>
                </c:pt>
                <c:pt idx="5">
                  <c:v>8.7612622873238601E-6</c:v>
                </c:pt>
                <c:pt idx="6">
                  <c:v>1.8237939939890002E-5</c:v>
                </c:pt>
                <c:pt idx="7">
                  <c:v>3.6476495033246194E-5</c:v>
                </c:pt>
                <c:pt idx="8">
                  <c:v>7.0093644496311972E-5</c:v>
                </c:pt>
                <c:pt idx="9">
                  <c:v>1.2941136046705072E-4</c:v>
                </c:pt>
                <c:pt idx="10">
                  <c:v>2.2955903205389754E-4</c:v>
                </c:pt>
                <c:pt idx="11">
                  <c:v>3.9124120477191976E-4</c:v>
                </c:pt>
                <c:pt idx="12">
                  <c:v>6.4065321665526256E-4</c:v>
                </c:pt>
                <c:pt idx="13">
                  <c:v>1.0079283370921532E-3</c:v>
                </c:pt>
                <c:pt idx="14">
                  <c:v>1.5235773936413206E-3</c:v>
                </c:pt>
                <c:pt idx="15">
                  <c:v>2.2127258308485818E-3</c:v>
                </c:pt>
                <c:pt idx="16">
                  <c:v>3.0875849267426635E-3</c:v>
                </c:pt>
                <c:pt idx="17">
                  <c:v>4.1394099490476765E-3</c:v>
                </c:pt>
                <c:pt idx="18">
                  <c:v>5.3319514580156581E-3</c:v>
                </c:pt>
                <c:pt idx="19">
                  <c:v>6.5987573002225563E-3</c:v>
                </c:pt>
                <c:pt idx="20">
                  <c:v>7.8463259355218296E-3</c:v>
                </c:pt>
                <c:pt idx="21">
                  <c:v>8.9639361557879802E-3</c:v>
                </c:pt>
                <c:pt idx="22">
                  <c:v>9.8391908668524486E-3</c:v>
                </c:pt>
                <c:pt idx="23">
                  <c:v>1.037643659777741E-2</c:v>
                </c:pt>
                <c:pt idx="24">
                  <c:v>1.0513935512278057E-2</c:v>
                </c:pt>
                <c:pt idx="25">
                  <c:v>1.0235536275209154E-2</c:v>
                </c:pt>
                <c:pt idx="26">
                  <c:v>9.5737948128265648E-3</c:v>
                </c:pt>
                <c:pt idx="27">
                  <c:v>8.6037117080982745E-3</c:v>
                </c:pt>
                <c:pt idx="28">
                  <c:v>7.4287510511511258E-3</c:v>
                </c:pt>
                <c:pt idx="29">
                  <c:v>6.1627419131282763E-3</c:v>
                </c:pt>
                <c:pt idx="30">
                  <c:v>4.9120228335610694E-3</c:v>
                </c:pt>
                <c:pt idx="31">
                  <c:v>3.7616206348347172E-3</c:v>
                </c:pt>
                <c:pt idx="32">
                  <c:v>2.7676924695008826E-3</c:v>
                </c:pt>
                <c:pt idx="33">
                  <c:v>1.9565407189800453E-3</c:v>
                </c:pt>
                <c:pt idx="34">
                  <c:v>1.328887358676632E-3</c:v>
                </c:pt>
                <c:pt idx="35">
                  <c:v>8.6719281360129368E-4</c:v>
                </c:pt>
                <c:pt idx="36">
                  <c:v>5.4371509586729789E-4</c:v>
                </c:pt>
                <c:pt idx="37">
                  <c:v>3.2753320325336859E-4</c:v>
                </c:pt>
                <c:pt idx="38">
                  <c:v>1.8956907671000326E-4</c:v>
                </c:pt>
                <c:pt idx="39">
                  <c:v>1.0541632645667355E-4</c:v>
                </c:pt>
                <c:pt idx="40">
                  <c:v>5.6321794232397011E-5</c:v>
                </c:pt>
                <c:pt idx="41">
                  <c:v>2.8911678511737594E-5</c:v>
                </c:pt>
                <c:pt idx="42">
                  <c:v>1.4259304761231485E-5</c:v>
                </c:pt>
                <c:pt idx="43">
                  <c:v>6.7569641868980779E-6</c:v>
                </c:pt>
                <c:pt idx="44">
                  <c:v>3.0763312964147392E-6</c:v>
                </c:pt>
                <c:pt idx="45">
                  <c:v>1.3456831395695727E-6</c:v>
                </c:pt>
                <c:pt idx="46">
                  <c:v>5.6556267392425244E-7</c:v>
                </c:pt>
                <c:pt idx="47">
                  <c:v>2.2837412053401101E-7</c:v>
                </c:pt>
                <c:pt idx="48">
                  <c:v>8.8601537328641428E-8</c:v>
                </c:pt>
                <c:pt idx="49">
                  <c:v>3.3026598563387864E-8</c:v>
                </c:pt>
                <c:pt idx="50">
                  <c:v>1.1828091040150268E-8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41-464F-A754-3FFA5864CA57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Chlorid!$T$46:$T$97</c:f>
              <c:numCache>
                <c:formatCode>0.0</c:formatCode>
                <c:ptCount val="52"/>
                <c:pt idx="0">
                  <c:v>-9.9960000000000007E-2</c:v>
                </c:pt>
                <c:pt idx="1">
                  <c:v>9.9960000000000007E-2</c:v>
                </c:pt>
                <c:pt idx="2">
                  <c:v>9.8960400000000011</c:v>
                </c:pt>
                <c:pt idx="3">
                  <c:v>10.09596</c:v>
                </c:pt>
                <c:pt idx="4">
                  <c:v>19.892040000000001</c:v>
                </c:pt>
                <c:pt idx="5">
                  <c:v>20.09196</c:v>
                </c:pt>
                <c:pt idx="6">
                  <c:v>29.88804</c:v>
                </c:pt>
                <c:pt idx="7">
                  <c:v>30.087959999999999</c:v>
                </c:pt>
                <c:pt idx="8">
                  <c:v>39.884039999999999</c:v>
                </c:pt>
                <c:pt idx="9">
                  <c:v>40.083960000000005</c:v>
                </c:pt>
                <c:pt idx="10">
                  <c:v>49.880040000000001</c:v>
                </c:pt>
                <c:pt idx="11">
                  <c:v>50.079960000000007</c:v>
                </c:pt>
                <c:pt idx="12">
                  <c:v>59.876039999999996</c:v>
                </c:pt>
                <c:pt idx="13">
                  <c:v>60.075960000000002</c:v>
                </c:pt>
                <c:pt idx="14">
                  <c:v>69.872040000000013</c:v>
                </c:pt>
                <c:pt idx="15">
                  <c:v>70.071960000000004</c:v>
                </c:pt>
                <c:pt idx="16">
                  <c:v>79.868040000000008</c:v>
                </c:pt>
                <c:pt idx="17">
                  <c:v>80.067959999999999</c:v>
                </c:pt>
                <c:pt idx="18">
                  <c:v>89.864040000000003</c:v>
                </c:pt>
                <c:pt idx="19">
                  <c:v>90.063959999999994</c:v>
                </c:pt>
                <c:pt idx="20">
                  <c:v>99.860040000000012</c:v>
                </c:pt>
                <c:pt idx="21">
                  <c:v>100.05996</c:v>
                </c:pt>
                <c:pt idx="22">
                  <c:v>109.85604000000001</c:v>
                </c:pt>
                <c:pt idx="23">
                  <c:v>110.05596</c:v>
                </c:pt>
                <c:pt idx="24">
                  <c:v>119.85204</c:v>
                </c:pt>
                <c:pt idx="25">
                  <c:v>120.05195999999999</c:v>
                </c:pt>
                <c:pt idx="26">
                  <c:v>129.84804</c:v>
                </c:pt>
                <c:pt idx="27">
                  <c:v>130.04796000000002</c:v>
                </c:pt>
                <c:pt idx="28">
                  <c:v>139.84404000000001</c:v>
                </c:pt>
                <c:pt idx="29">
                  <c:v>140.04396000000003</c:v>
                </c:pt>
                <c:pt idx="30">
                  <c:v>149.84003999999999</c:v>
                </c:pt>
                <c:pt idx="31">
                  <c:v>150.03996000000001</c:v>
                </c:pt>
                <c:pt idx="32">
                  <c:v>159.83604</c:v>
                </c:pt>
                <c:pt idx="33">
                  <c:v>160.03596000000002</c:v>
                </c:pt>
                <c:pt idx="34">
                  <c:v>169.83204000000001</c:v>
                </c:pt>
                <c:pt idx="35">
                  <c:v>170.03196000000003</c:v>
                </c:pt>
                <c:pt idx="36">
                  <c:v>179.82803999999999</c:v>
                </c:pt>
                <c:pt idx="37">
                  <c:v>180.02796000000001</c:v>
                </c:pt>
                <c:pt idx="38">
                  <c:v>189.82404</c:v>
                </c:pt>
                <c:pt idx="39">
                  <c:v>190.02396000000002</c:v>
                </c:pt>
                <c:pt idx="40">
                  <c:v>199.82004000000001</c:v>
                </c:pt>
                <c:pt idx="41">
                  <c:v>200.01996000000003</c:v>
                </c:pt>
                <c:pt idx="42">
                  <c:v>209.81603999999999</c:v>
                </c:pt>
                <c:pt idx="43">
                  <c:v>210.01596000000001</c:v>
                </c:pt>
                <c:pt idx="44">
                  <c:v>219.81204</c:v>
                </c:pt>
                <c:pt idx="45">
                  <c:v>220.01196000000002</c:v>
                </c:pt>
                <c:pt idx="46">
                  <c:v>229.80804000000001</c:v>
                </c:pt>
                <c:pt idx="47">
                  <c:v>230.00796000000003</c:v>
                </c:pt>
                <c:pt idx="48">
                  <c:v>239.80403999999999</c:v>
                </c:pt>
                <c:pt idx="49">
                  <c:v>240.00396000000001</c:v>
                </c:pt>
                <c:pt idx="50">
                  <c:v>249.80004</c:v>
                </c:pt>
                <c:pt idx="51">
                  <c:v>249.99996000000002</c:v>
                </c:pt>
              </c:numCache>
            </c:numRef>
          </c:xVal>
          <c:yVal>
            <c:numRef>
              <c:f>Chlorid!$U$46:$U$97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1.3518921081946292E-3</c:v>
                </c:pt>
                <c:pt idx="14">
                  <c:v>1.3518921081946292E-3</c:v>
                </c:pt>
                <c:pt idx="15">
                  <c:v>6.7594605409731457E-3</c:v>
                </c:pt>
                <c:pt idx="16">
                  <c:v>6.7594605409731457E-3</c:v>
                </c:pt>
                <c:pt idx="17">
                  <c:v>6.7594605409731457E-3</c:v>
                </c:pt>
                <c:pt idx="18">
                  <c:v>6.7594605409731457E-3</c:v>
                </c:pt>
                <c:pt idx="19">
                  <c:v>6.7594605409731457E-3</c:v>
                </c:pt>
                <c:pt idx="20">
                  <c:v>6.7594605409731457E-3</c:v>
                </c:pt>
                <c:pt idx="21">
                  <c:v>1.7574597406530178E-2</c:v>
                </c:pt>
                <c:pt idx="22">
                  <c:v>1.7574597406530178E-2</c:v>
                </c:pt>
                <c:pt idx="23">
                  <c:v>8.1113526491677738E-3</c:v>
                </c:pt>
                <c:pt idx="24">
                  <c:v>8.1113526491677738E-3</c:v>
                </c:pt>
                <c:pt idx="25">
                  <c:v>5.4075684327785168E-3</c:v>
                </c:pt>
                <c:pt idx="26">
                  <c:v>5.4075684327785168E-3</c:v>
                </c:pt>
                <c:pt idx="27">
                  <c:v>9.4632447573624046E-3</c:v>
                </c:pt>
                <c:pt idx="28">
                  <c:v>9.4632447573624046E-3</c:v>
                </c:pt>
                <c:pt idx="29">
                  <c:v>8.1113526491677738E-3</c:v>
                </c:pt>
                <c:pt idx="30">
                  <c:v>8.1113526491677738E-3</c:v>
                </c:pt>
                <c:pt idx="31">
                  <c:v>4.0556763245838869E-3</c:v>
                </c:pt>
                <c:pt idx="32">
                  <c:v>4.0556763245838869E-3</c:v>
                </c:pt>
                <c:pt idx="33">
                  <c:v>4.0556763245838869E-3</c:v>
                </c:pt>
                <c:pt idx="34">
                  <c:v>4.0556763245838869E-3</c:v>
                </c:pt>
                <c:pt idx="35">
                  <c:v>6.7594605409731457E-3</c:v>
                </c:pt>
                <c:pt idx="36">
                  <c:v>6.7594605409731457E-3</c:v>
                </c:pt>
                <c:pt idx="37">
                  <c:v>2.7037842163892584E-3</c:v>
                </c:pt>
                <c:pt idx="38">
                  <c:v>2.7037842163892584E-3</c:v>
                </c:pt>
                <c:pt idx="39">
                  <c:v>4.0556763245838869E-3</c:v>
                </c:pt>
                <c:pt idx="40">
                  <c:v>4.0556763245838869E-3</c:v>
                </c:pt>
                <c:pt idx="41">
                  <c:v>5.4075684327785168E-3</c:v>
                </c:pt>
                <c:pt idx="42">
                  <c:v>5.4075684327785168E-3</c:v>
                </c:pt>
                <c:pt idx="43">
                  <c:v>1.3518921081946292E-3</c:v>
                </c:pt>
                <c:pt idx="44">
                  <c:v>1.3518921081946292E-3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1.3518921081946292E-3</c:v>
                </c:pt>
                <c:pt idx="50">
                  <c:v>1.3518921081946292E-3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41-464F-A754-3FFA5864CA57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Chlorid!$U$3:$V$3</c:f>
              <c:numCache>
                <c:formatCode>0.000</c:formatCode>
                <c:ptCount val="2"/>
                <c:pt idx="0">
                  <c:v>201.05771852703049</c:v>
                </c:pt>
                <c:pt idx="1">
                  <c:v>201.05771852703049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41-464F-A754-3FFA5864CA57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Chlorid!$U$4:$V$4</c:f>
              <c:numCache>
                <c:formatCode>0.000</c:formatCode>
                <c:ptCount val="2"/>
                <c:pt idx="0">
                  <c:v>194.64514540836768</c:v>
                </c:pt>
                <c:pt idx="1">
                  <c:v>194.64514540836768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41-464F-A754-3FFA5864CA57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Chlorid!$U$5:$V$5</c:f>
              <c:numCache>
                <c:formatCode>0.000</c:formatCode>
                <c:ptCount val="2"/>
                <c:pt idx="0">
                  <c:v>216.01564894249515</c:v>
                </c:pt>
                <c:pt idx="1">
                  <c:v>216.01564894249515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41-464F-A754-3FFA5864CA57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Chlorid!$U$6:$V$6</c:f>
              <c:numCache>
                <c:formatCode>0.000</c:formatCode>
                <c:ptCount val="2"/>
                <c:pt idx="0">
                  <c:v>219.22939343239693</c:v>
                </c:pt>
                <c:pt idx="1">
                  <c:v>219.22939343239693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41-464F-A754-3FFA5864CA57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Chlorid!$U$7:$V$7</c:f>
              <c:numCache>
                <c:formatCode>0.000</c:formatCode>
                <c:ptCount val="2"/>
                <c:pt idx="0">
                  <c:v>41.023362554050578</c:v>
                </c:pt>
                <c:pt idx="1">
                  <c:v>41.023362554050578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41-464F-A754-3FFA5864CA57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Chlorid!$U$8:$V$8</c:f>
              <c:numCache>
                <c:formatCode>0.000</c:formatCode>
                <c:ptCount val="2"/>
                <c:pt idx="0">
                  <c:v>4.6556333988332455</c:v>
                </c:pt>
                <c:pt idx="1">
                  <c:v>4.6556333988332455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41-464F-A754-3FFA5864CA57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Chlorid!$U$11:$V$11</c:f>
              <c:numCache>
                <c:formatCode>0.000</c:formatCode>
                <c:ptCount val="2"/>
                <c:pt idx="0">
                  <c:v>115</c:v>
                </c:pt>
                <c:pt idx="1">
                  <c:v>115</c:v>
                </c:pt>
              </c:numCache>
            </c:numRef>
          </c:xVal>
          <c:yVal>
            <c:numRef>
              <c:f>Chlorid!$U$2:$V$2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41-464F-A754-3FFA5864C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21472"/>
        <c:axId val="150131456"/>
      </c:scatterChart>
      <c:valAx>
        <c:axId val="150121472"/>
        <c:scaling>
          <c:orientation val="minMax"/>
          <c:max val="3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131456"/>
        <c:crosses val="autoZero"/>
        <c:crossBetween val="midCat"/>
        <c:majorUnit val="50"/>
        <c:minorUnit val="10"/>
      </c:valAx>
      <c:valAx>
        <c:axId val="150131456"/>
        <c:scaling>
          <c:orientation val="minMax"/>
          <c:max val="2.0000000000000004E-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121472"/>
        <c:crosses val="autoZero"/>
        <c:crossBetween val="midCat"/>
        <c:majorUnit val="1.0000000000000002E-2"/>
        <c:minorUnit val="5.000000000000001E-3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Chlorid!$M$3:$M$252</c:f>
              <c:numCache>
                <c:formatCode>d/m/yyyy;@</c:formatCode>
                <c:ptCount val="250"/>
                <c:pt idx="0">
                  <c:v>35808</c:v>
                </c:pt>
                <c:pt idx="1">
                  <c:v>35908</c:v>
                </c:pt>
                <c:pt idx="2">
                  <c:v>35996</c:v>
                </c:pt>
                <c:pt idx="3">
                  <c:v>36108</c:v>
                </c:pt>
                <c:pt idx="4">
                  <c:v>36161</c:v>
                </c:pt>
                <c:pt idx="5">
                  <c:v>36251</c:v>
                </c:pt>
                <c:pt idx="6">
                  <c:v>36276</c:v>
                </c:pt>
                <c:pt idx="7">
                  <c:v>36342</c:v>
                </c:pt>
                <c:pt idx="8">
                  <c:v>36434</c:v>
                </c:pt>
                <c:pt idx="9">
                  <c:v>36557</c:v>
                </c:pt>
                <c:pt idx="10">
                  <c:v>36651</c:v>
                </c:pt>
                <c:pt idx="11">
                  <c:v>36733</c:v>
                </c:pt>
                <c:pt idx="12">
                  <c:v>36838</c:v>
                </c:pt>
                <c:pt idx="13">
                  <c:v>36907</c:v>
                </c:pt>
                <c:pt idx="14">
                  <c:v>37006</c:v>
                </c:pt>
                <c:pt idx="15">
                  <c:v>37097</c:v>
                </c:pt>
                <c:pt idx="16">
                  <c:v>37172</c:v>
                </c:pt>
                <c:pt idx="17">
                  <c:v>37264</c:v>
                </c:pt>
                <c:pt idx="18">
                  <c:v>37354</c:v>
                </c:pt>
                <c:pt idx="19">
                  <c:v>37467</c:v>
                </c:pt>
                <c:pt idx="20">
                  <c:v>37573</c:v>
                </c:pt>
                <c:pt idx="21">
                  <c:v>37649</c:v>
                </c:pt>
                <c:pt idx="22">
                  <c:v>37750</c:v>
                </c:pt>
                <c:pt idx="23">
                  <c:v>37845</c:v>
                </c:pt>
                <c:pt idx="24">
                  <c:v>37930</c:v>
                </c:pt>
                <c:pt idx="25">
                  <c:v>38034</c:v>
                </c:pt>
                <c:pt idx="26">
                  <c:v>38183</c:v>
                </c:pt>
                <c:pt idx="27">
                  <c:v>38281</c:v>
                </c:pt>
                <c:pt idx="28">
                  <c:v>38344</c:v>
                </c:pt>
                <c:pt idx="29">
                  <c:v>38391</c:v>
                </c:pt>
                <c:pt idx="30">
                  <c:v>38460</c:v>
                </c:pt>
                <c:pt idx="31">
                  <c:v>38553</c:v>
                </c:pt>
                <c:pt idx="32">
                  <c:v>38701</c:v>
                </c:pt>
                <c:pt idx="33">
                  <c:v>39079</c:v>
                </c:pt>
                <c:pt idx="34">
                  <c:v>39127</c:v>
                </c:pt>
                <c:pt idx="35">
                  <c:v>39226</c:v>
                </c:pt>
                <c:pt idx="36">
                  <c:v>39308</c:v>
                </c:pt>
                <c:pt idx="37">
                  <c:v>39408</c:v>
                </c:pt>
                <c:pt idx="38">
                  <c:v>39505</c:v>
                </c:pt>
                <c:pt idx="39">
                  <c:v>39596</c:v>
                </c:pt>
                <c:pt idx="40">
                  <c:v>39674</c:v>
                </c:pt>
                <c:pt idx="41">
                  <c:v>39758</c:v>
                </c:pt>
                <c:pt idx="42">
                  <c:v>39856</c:v>
                </c:pt>
                <c:pt idx="43">
                  <c:v>39960</c:v>
                </c:pt>
                <c:pt idx="44">
                  <c:v>40052</c:v>
                </c:pt>
                <c:pt idx="45">
                  <c:v>40122</c:v>
                </c:pt>
                <c:pt idx="46">
                  <c:v>40234</c:v>
                </c:pt>
                <c:pt idx="47">
                  <c:v>40326</c:v>
                </c:pt>
                <c:pt idx="48">
                  <c:v>40403</c:v>
                </c:pt>
                <c:pt idx="49">
                  <c:v>40507</c:v>
                </c:pt>
                <c:pt idx="50">
                  <c:v>40577</c:v>
                </c:pt>
                <c:pt idx="51">
                  <c:v>40682</c:v>
                </c:pt>
                <c:pt idx="52">
                  <c:v>40759</c:v>
                </c:pt>
                <c:pt idx="53">
                  <c:v>40856</c:v>
                </c:pt>
                <c:pt idx="54">
                  <c:v>40961</c:v>
                </c:pt>
                <c:pt idx="55">
                  <c:v>41044</c:v>
                </c:pt>
                <c:pt idx="56">
                  <c:v>41123</c:v>
                </c:pt>
                <c:pt idx="57">
                  <c:v>41235</c:v>
                </c:pt>
                <c:pt idx="58">
                  <c:v>41326</c:v>
                </c:pt>
                <c:pt idx="59">
                  <c:v>41428</c:v>
                </c:pt>
                <c:pt idx="60">
                  <c:v>41494</c:v>
                </c:pt>
                <c:pt idx="61">
                  <c:v>41600</c:v>
                </c:pt>
                <c:pt idx="62">
                  <c:v>41684</c:v>
                </c:pt>
                <c:pt idx="63">
                  <c:v>41782</c:v>
                </c:pt>
                <c:pt idx="64">
                  <c:v>41880</c:v>
                </c:pt>
                <c:pt idx="65">
                  <c:v>41963</c:v>
                </c:pt>
                <c:pt idx="66">
                  <c:v>42045</c:v>
                </c:pt>
                <c:pt idx="67">
                  <c:v>42145</c:v>
                </c:pt>
                <c:pt idx="68">
                  <c:v>42236</c:v>
                </c:pt>
                <c:pt idx="69">
                  <c:v>42327</c:v>
                </c:pt>
                <c:pt idx="70">
                  <c:v>42417</c:v>
                </c:pt>
                <c:pt idx="71">
                  <c:v>42502</c:v>
                </c:pt>
                <c:pt idx="72">
                  <c:v>42607</c:v>
                </c:pt>
                <c:pt idx="73">
                  <c:v>42699</c:v>
                </c:pt>
              </c:numCache>
            </c:numRef>
          </c:xVal>
          <c:yVal>
            <c:numRef>
              <c:f>Chlorid!$N$3:$N$252</c:f>
              <c:numCache>
                <c:formatCode>General</c:formatCode>
                <c:ptCount val="250"/>
                <c:pt idx="0">
                  <c:v>190</c:v>
                </c:pt>
                <c:pt idx="1">
                  <c:v>160</c:v>
                </c:pt>
                <c:pt idx="2">
                  <c:v>95</c:v>
                </c:pt>
                <c:pt idx="3">
                  <c:v>190</c:v>
                </c:pt>
                <c:pt idx="4">
                  <c:v>180</c:v>
                </c:pt>
                <c:pt idx="5">
                  <c:v>130</c:v>
                </c:pt>
                <c:pt idx="6">
                  <c:v>130</c:v>
                </c:pt>
                <c:pt idx="7">
                  <c:v>150</c:v>
                </c:pt>
                <c:pt idx="8">
                  <c:v>127</c:v>
                </c:pt>
                <c:pt idx="9">
                  <c:v>74.400000000000006</c:v>
                </c:pt>
                <c:pt idx="10">
                  <c:v>119</c:v>
                </c:pt>
                <c:pt idx="11">
                  <c:v>150</c:v>
                </c:pt>
                <c:pt idx="12">
                  <c:v>138</c:v>
                </c:pt>
                <c:pt idx="13">
                  <c:v>163</c:v>
                </c:pt>
                <c:pt idx="14">
                  <c:v>121</c:v>
                </c:pt>
                <c:pt idx="15">
                  <c:v>80.8</c:v>
                </c:pt>
                <c:pt idx="16">
                  <c:v>121</c:v>
                </c:pt>
                <c:pt idx="17">
                  <c:v>141</c:v>
                </c:pt>
                <c:pt idx="18">
                  <c:v>62.3</c:v>
                </c:pt>
                <c:pt idx="19">
                  <c:v>73</c:v>
                </c:pt>
                <c:pt idx="20">
                  <c:v>160</c:v>
                </c:pt>
                <c:pt idx="21">
                  <c:v>136</c:v>
                </c:pt>
                <c:pt idx="22">
                  <c:v>87</c:v>
                </c:pt>
                <c:pt idx="23">
                  <c:v>129</c:v>
                </c:pt>
                <c:pt idx="24">
                  <c:v>92.9</c:v>
                </c:pt>
                <c:pt idx="25">
                  <c:v>93</c:v>
                </c:pt>
                <c:pt idx="26">
                  <c:v>61</c:v>
                </c:pt>
                <c:pt idx="27">
                  <c:v>94</c:v>
                </c:pt>
                <c:pt idx="28">
                  <c:v>70</c:v>
                </c:pt>
                <c:pt idx="29">
                  <c:v>90</c:v>
                </c:pt>
                <c:pt idx="30">
                  <c:v>66</c:v>
                </c:pt>
                <c:pt idx="31">
                  <c:v>62</c:v>
                </c:pt>
                <c:pt idx="32">
                  <c:v>59</c:v>
                </c:pt>
                <c:pt idx="33">
                  <c:v>65</c:v>
                </c:pt>
                <c:pt idx="34">
                  <c:v>79</c:v>
                </c:pt>
                <c:pt idx="35">
                  <c:v>86</c:v>
                </c:pt>
                <c:pt idx="36">
                  <c:v>92</c:v>
                </c:pt>
                <c:pt idx="37">
                  <c:v>76</c:v>
                </c:pt>
                <c:pt idx="38">
                  <c:v>90</c:v>
                </c:pt>
                <c:pt idx="39">
                  <c:v>91</c:v>
                </c:pt>
                <c:pt idx="40">
                  <c:v>116</c:v>
                </c:pt>
                <c:pt idx="41">
                  <c:v>94</c:v>
                </c:pt>
                <c:pt idx="42">
                  <c:v>87.9</c:v>
                </c:pt>
                <c:pt idx="43">
                  <c:v>102</c:v>
                </c:pt>
                <c:pt idx="44">
                  <c:v>106</c:v>
                </c:pt>
                <c:pt idx="45">
                  <c:v>101</c:v>
                </c:pt>
                <c:pt idx="46">
                  <c:v>108</c:v>
                </c:pt>
                <c:pt idx="47">
                  <c:v>94.1</c:v>
                </c:pt>
                <c:pt idx="48">
                  <c:v>112</c:v>
                </c:pt>
                <c:pt idx="49">
                  <c:v>95</c:v>
                </c:pt>
                <c:pt idx="50">
                  <c:v>131</c:v>
                </c:pt>
                <c:pt idx="51">
                  <c:v>97.9</c:v>
                </c:pt>
                <c:pt idx="52">
                  <c:v>103</c:v>
                </c:pt>
                <c:pt idx="53">
                  <c:v>109</c:v>
                </c:pt>
                <c:pt idx="54">
                  <c:v>126</c:v>
                </c:pt>
                <c:pt idx="55">
                  <c:v>203</c:v>
                </c:pt>
                <c:pt idx="56">
                  <c:v>165</c:v>
                </c:pt>
                <c:pt idx="57">
                  <c:v>153</c:v>
                </c:pt>
                <c:pt idx="58">
                  <c:v>176</c:v>
                </c:pt>
                <c:pt idx="59">
                  <c:v>124</c:v>
                </c:pt>
                <c:pt idx="60">
                  <c:v>135</c:v>
                </c:pt>
                <c:pt idx="61">
                  <c:v>238</c:v>
                </c:pt>
                <c:pt idx="62">
                  <c:v>142</c:v>
                </c:pt>
                <c:pt idx="63">
                  <c:v>190</c:v>
                </c:pt>
                <c:pt idx="64">
                  <c:v>180</c:v>
                </c:pt>
                <c:pt idx="65">
                  <c:v>165</c:v>
                </c:pt>
                <c:pt idx="66">
                  <c:v>129</c:v>
                </c:pt>
                <c:pt idx="67">
                  <c:v>142</c:v>
                </c:pt>
                <c:pt idx="68">
                  <c:v>177</c:v>
                </c:pt>
                <c:pt idx="69">
                  <c:v>199</c:v>
                </c:pt>
                <c:pt idx="70">
                  <c:v>187</c:v>
                </c:pt>
                <c:pt idx="71">
                  <c:v>98.2</c:v>
                </c:pt>
                <c:pt idx="72">
                  <c:v>114</c:v>
                </c:pt>
                <c:pt idx="73">
                  <c:v>82.5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CC-449C-A84B-E29D13473E77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Chlorid!$E$57:$E$58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Chlorid!$F$57:$F$58</c:f>
              <c:numCache>
                <c:formatCode>0.000</c:formatCode>
                <c:ptCount val="2"/>
                <c:pt idx="0">
                  <c:v>201.05771852703049</c:v>
                </c:pt>
                <c:pt idx="1">
                  <c:v>201.05771852703049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CC-449C-A84B-E29D13473E77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Chlorid!$E$57:$E$58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Chlorid!$J$57:$J$58</c:f>
              <c:numCache>
                <c:formatCode>0.000</c:formatCode>
                <c:ptCount val="2"/>
                <c:pt idx="0">
                  <c:v>194.64514540836768</c:v>
                </c:pt>
                <c:pt idx="1">
                  <c:v>194.64514540836768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CC-449C-A84B-E29D13473E77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Chlorid!$G$122:$G$123</c:f>
              <c:numCache>
                <c:formatCode>d/m/yyyy;@</c:formatCode>
                <c:ptCount val="2"/>
                <c:pt idx="0">
                  <c:v>59</c:v>
                </c:pt>
                <c:pt idx="1">
                  <c:v>42699</c:v>
                </c:pt>
              </c:numCache>
            </c:numRef>
          </c:xVal>
          <c:yVal>
            <c:numRef>
              <c:f>Chlorid!$I$122:$I$123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CC-449C-A84B-E29D13473E77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Chlorid!$G$122:$G$123</c:f>
              <c:numCache>
                <c:formatCode>d/m/yyyy;@</c:formatCode>
                <c:ptCount val="2"/>
                <c:pt idx="0">
                  <c:v>59</c:v>
                </c:pt>
                <c:pt idx="1">
                  <c:v>42699</c:v>
                </c:pt>
              </c:numCache>
            </c:numRef>
          </c:xVal>
          <c:yVal>
            <c:numRef>
              <c:f>Chlorid!$J$122:$J$123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CC-449C-A84B-E29D13473E77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Chlorid!$E$57:$E$58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Chlorid!$G$57:$G$58</c:f>
              <c:numCache>
                <c:formatCode>0.000</c:formatCode>
                <c:ptCount val="2"/>
                <c:pt idx="0">
                  <c:v>41.023362554050578</c:v>
                </c:pt>
                <c:pt idx="1">
                  <c:v>41.023362554050578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CC-449C-A84B-E29D13473E77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Chlorid!$E$57:$E$58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Chlorid!$H$57:$H$58</c:f>
              <c:numCache>
                <c:formatCode>0.000</c:formatCode>
                <c:ptCount val="2"/>
                <c:pt idx="0">
                  <c:v>216.01564894249515</c:v>
                </c:pt>
                <c:pt idx="1">
                  <c:v>216.01564894249515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5CC-449C-A84B-E29D13473E77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Chlorid!$E$57:$E$58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Chlorid!$K$57:$K$58</c:f>
              <c:numCache>
                <c:formatCode>0.000</c:formatCode>
                <c:ptCount val="2"/>
                <c:pt idx="0">
                  <c:v>219.22939343239693</c:v>
                </c:pt>
                <c:pt idx="1">
                  <c:v>219.22939343239693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5CC-449C-A84B-E29D1347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042112"/>
        <c:axId val="150043648"/>
      </c:scatterChart>
      <c:valAx>
        <c:axId val="15004211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043648"/>
        <c:crossesAt val="0"/>
        <c:crossBetween val="midCat"/>
        <c:majorUnit val="1461"/>
        <c:minorUnit val="365.25"/>
      </c:valAx>
      <c:valAx>
        <c:axId val="150043648"/>
        <c:scaling>
          <c:orientation val="minMax"/>
          <c:max val="30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042112"/>
        <c:crossesAt val="0"/>
        <c:crossBetween val="midCat"/>
        <c:majorUnit val="100"/>
        <c:minorUnit val="5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TOC!$F$63:$F$113</c:f>
              <c:numCache>
                <c:formatCode>General</c:formatCode>
                <c:ptCount val="51"/>
                <c:pt idx="0">
                  <c:v>-5.4013960948167901</c:v>
                </c:pt>
                <c:pt idx="1">
                  <c:v>-5.1024436992999798</c:v>
                </c:pt>
                <c:pt idx="2">
                  <c:v>-4.8034913037831704</c:v>
                </c:pt>
                <c:pt idx="3">
                  <c:v>-4.5045389082663618</c:v>
                </c:pt>
                <c:pt idx="4">
                  <c:v>-4.2055865127495515</c:v>
                </c:pt>
                <c:pt idx="5">
                  <c:v>-3.9066341172327421</c:v>
                </c:pt>
                <c:pt idx="6">
                  <c:v>-3.6076817217159327</c:v>
                </c:pt>
                <c:pt idx="7">
                  <c:v>-3.3087293261991233</c:v>
                </c:pt>
                <c:pt idx="8">
                  <c:v>-3.009776930682313</c:v>
                </c:pt>
                <c:pt idx="9">
                  <c:v>-2.7108245351655045</c:v>
                </c:pt>
                <c:pt idx="10">
                  <c:v>-2.4118721396486942</c:v>
                </c:pt>
                <c:pt idx="11">
                  <c:v>-2.1129197441318848</c:v>
                </c:pt>
                <c:pt idx="12">
                  <c:v>-1.8139673486150754</c:v>
                </c:pt>
                <c:pt idx="13">
                  <c:v>-1.5150149530982655</c:v>
                </c:pt>
                <c:pt idx="14">
                  <c:v>-1.2160625575814565</c:v>
                </c:pt>
                <c:pt idx="15">
                  <c:v>-0.91711016206464668</c:v>
                </c:pt>
                <c:pt idx="16">
                  <c:v>-0.61815776654783727</c:v>
                </c:pt>
                <c:pt idx="17">
                  <c:v>-0.31920537103102786</c:v>
                </c:pt>
                <c:pt idx="18">
                  <c:v>-2.0252975514218008E-2</c:v>
                </c:pt>
                <c:pt idx="19">
                  <c:v>0.27869942000259162</c:v>
                </c:pt>
                <c:pt idx="20">
                  <c:v>0.57765181551940104</c:v>
                </c:pt>
                <c:pt idx="21">
                  <c:v>0.87660421103621045</c:v>
                </c:pt>
                <c:pt idx="22">
                  <c:v>1.1755566065530201</c:v>
                </c:pt>
                <c:pt idx="23">
                  <c:v>1.4745090020698295</c:v>
                </c:pt>
                <c:pt idx="24">
                  <c:v>1.7734613975866391</c:v>
                </c:pt>
                <c:pt idx="25">
                  <c:v>2.0724137931034488</c:v>
                </c:pt>
                <c:pt idx="26">
                  <c:v>2.3713661886202582</c:v>
                </c:pt>
                <c:pt idx="27">
                  <c:v>2.670318584137068</c:v>
                </c:pt>
                <c:pt idx="28">
                  <c:v>2.9692709796538774</c:v>
                </c:pt>
                <c:pt idx="29">
                  <c:v>3.2682233751707019</c:v>
                </c:pt>
                <c:pt idx="30">
                  <c:v>3.5671757706875113</c:v>
                </c:pt>
                <c:pt idx="31">
                  <c:v>3.8661281662043212</c:v>
                </c:pt>
                <c:pt idx="32">
                  <c:v>4.1650805617211297</c:v>
                </c:pt>
                <c:pt idx="33">
                  <c:v>4.46403295723794</c:v>
                </c:pt>
                <c:pt idx="34">
                  <c:v>4.7629853527547494</c:v>
                </c:pt>
                <c:pt idx="35">
                  <c:v>5.0619377482715588</c:v>
                </c:pt>
                <c:pt idx="36">
                  <c:v>5.3608901437883691</c:v>
                </c:pt>
                <c:pt idx="37">
                  <c:v>5.6598425393051786</c:v>
                </c:pt>
                <c:pt idx="38">
                  <c:v>5.958794934821988</c:v>
                </c:pt>
                <c:pt idx="39">
                  <c:v>6.2577473303387974</c:v>
                </c:pt>
                <c:pt idx="40">
                  <c:v>6.5566997258556068</c:v>
                </c:pt>
                <c:pt idx="41">
                  <c:v>6.8556521213724162</c:v>
                </c:pt>
                <c:pt idx="42">
                  <c:v>7.1546045168892265</c:v>
                </c:pt>
                <c:pt idx="43">
                  <c:v>7.453556912406035</c:v>
                </c:pt>
                <c:pt idx="44">
                  <c:v>7.7525093079228453</c:v>
                </c:pt>
                <c:pt idx="45">
                  <c:v>8.051461703439653</c:v>
                </c:pt>
                <c:pt idx="46">
                  <c:v>8.3504140989564632</c:v>
                </c:pt>
                <c:pt idx="47">
                  <c:v>8.6493664944732735</c:v>
                </c:pt>
                <c:pt idx="48">
                  <c:v>8.9483188899900838</c:v>
                </c:pt>
                <c:pt idx="49">
                  <c:v>9.2472712855068924</c:v>
                </c:pt>
                <c:pt idx="50">
                  <c:v>9.5462236810236867</c:v>
                </c:pt>
              </c:numCache>
            </c:numRef>
          </c:xVal>
          <c:yVal>
            <c:numRef>
              <c:f>TOC!$G$63:$G$113</c:f>
              <c:numCache>
                <c:formatCode>General</c:formatCode>
                <c:ptCount val="51"/>
                <c:pt idx="0">
                  <c:v>9.9461956955665345E-7</c:v>
                </c:pt>
                <c:pt idx="1">
                  <c:v>2.650120320450377E-6</c:v>
                </c:pt>
                <c:pt idx="2">
                  <c:v>6.7842587766897872E-6</c:v>
                </c:pt>
                <c:pt idx="3">
                  <c:v>1.6686583994039992E-5</c:v>
                </c:pt>
                <c:pt idx="4">
                  <c:v>3.9433079406935603E-5</c:v>
                </c:pt>
                <c:pt idx="5">
                  <c:v>8.9532800386849784E-5</c:v>
                </c:pt>
                <c:pt idx="6">
                  <c:v>1.9531332089629927E-4</c:v>
                </c:pt>
                <c:pt idx="7">
                  <c:v>4.0936412572038804E-4</c:v>
                </c:pt>
                <c:pt idx="8">
                  <c:v>8.2435811651071749E-4</c:v>
                </c:pt>
                <c:pt idx="9">
                  <c:v>1.594961764627029E-3</c:v>
                </c:pt>
                <c:pt idx="10">
                  <c:v>2.9649191499379122E-3</c:v>
                </c:pt>
                <c:pt idx="11">
                  <c:v>5.2954595458559539E-3</c:v>
                </c:pt>
                <c:pt idx="12">
                  <c:v>9.087044919111123E-3</c:v>
                </c:pt>
                <c:pt idx="13">
                  <c:v>1.4982004245946038E-2</c:v>
                </c:pt>
                <c:pt idx="14">
                  <c:v>2.3732603169079977E-2</c:v>
                </c:pt>
                <c:pt idx="15">
                  <c:v>3.6120109638092694E-2</c:v>
                </c:pt>
                <c:pt idx="16">
                  <c:v>5.2817879692457548E-2</c:v>
                </c:pt>
                <c:pt idx="17">
                  <c:v>7.4206352812595994E-2</c:v>
                </c:pt>
                <c:pt idx="18">
                  <c:v>0.10016809892217503</c:v>
                </c:pt>
                <c:pt idx="19">
                  <c:v>0.12991102121628206</c:v>
                </c:pt>
                <c:pt idx="20">
                  <c:v>0.16187910058445262</c:v>
                </c:pt>
                <c:pt idx="21">
                  <c:v>0.19380446994624861</c:v>
                </c:pt>
                <c:pt idx="22">
                  <c:v>0.22292820388058276</c:v>
                </c:pt>
                <c:pt idx="23">
                  <c:v>0.24637376774765879</c:v>
                </c:pt>
                <c:pt idx="24">
                  <c:v>0.26160867070454247</c:v>
                </c:pt>
                <c:pt idx="25">
                  <c:v>0.26689351641539261</c:v>
                </c:pt>
                <c:pt idx="26">
                  <c:v>0.26160867070454252</c:v>
                </c:pt>
                <c:pt idx="27">
                  <c:v>0.24637376774765879</c:v>
                </c:pt>
                <c:pt idx="28">
                  <c:v>0.22292820388058276</c:v>
                </c:pt>
                <c:pt idx="29">
                  <c:v>0.19380446994624709</c:v>
                </c:pt>
                <c:pt idx="30">
                  <c:v>0.16187910058445099</c:v>
                </c:pt>
                <c:pt idx="31">
                  <c:v>0.12991102121628048</c:v>
                </c:pt>
                <c:pt idx="32">
                  <c:v>0.10016809892217371</c:v>
                </c:pt>
                <c:pt idx="33">
                  <c:v>7.42063528125948E-2</c:v>
                </c:pt>
                <c:pt idx="34">
                  <c:v>5.2817879692456618E-2</c:v>
                </c:pt>
                <c:pt idx="35">
                  <c:v>3.6120109638091979E-2</c:v>
                </c:pt>
                <c:pt idx="36">
                  <c:v>2.3732603169079439E-2</c:v>
                </c:pt>
                <c:pt idx="37">
                  <c:v>1.4982004245945672E-2</c:v>
                </c:pt>
                <c:pt idx="38">
                  <c:v>9.0870449191108784E-3</c:v>
                </c:pt>
                <c:pt idx="39">
                  <c:v>5.295459545855803E-3</c:v>
                </c:pt>
                <c:pt idx="40">
                  <c:v>2.9649191499378255E-3</c:v>
                </c:pt>
                <c:pt idx="41">
                  <c:v>1.5949617646269796E-3</c:v>
                </c:pt>
                <c:pt idx="42">
                  <c:v>8.243581165106867E-4</c:v>
                </c:pt>
                <c:pt idx="43">
                  <c:v>4.0936412572037384E-4</c:v>
                </c:pt>
                <c:pt idx="44">
                  <c:v>1.9531332089629201E-4</c:v>
                </c:pt>
                <c:pt idx="45">
                  <c:v>8.9532800386846585E-5</c:v>
                </c:pt>
                <c:pt idx="46">
                  <c:v>3.9433079406934133E-5</c:v>
                </c:pt>
                <c:pt idx="47">
                  <c:v>1.668658399403928E-5</c:v>
                </c:pt>
                <c:pt idx="48">
                  <c:v>6.78425877668945E-6</c:v>
                </c:pt>
                <c:pt idx="49">
                  <c:v>2.6501203204502542E-6</c:v>
                </c:pt>
                <c:pt idx="50">
                  <c:v>9.9461956955665705E-7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30-4230-B00F-03D4C56D683D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TOC!$I$63:$I$113</c:f>
              <c:numCache>
                <c:formatCode>General</c:formatCode>
                <c:ptCount val="51"/>
                <c:pt idx="0">
                  <c:v>-0.73311658968087789</c:v>
                </c:pt>
                <c:pt idx="1">
                  <c:v>-0.69687366449094346</c:v>
                </c:pt>
                <c:pt idx="2">
                  <c:v>-0.65781729680703538</c:v>
                </c:pt>
                <c:pt idx="3">
                  <c:v>-0.61572908652415625</c:v>
                </c:pt>
                <c:pt idx="4">
                  <c:v>-0.57037367971437969</c:v>
                </c:pt>
                <c:pt idx="5">
                  <c:v>-0.52149745254638524</c:v>
                </c:pt>
                <c:pt idx="6">
                  <c:v>-0.46882709304114389</c:v>
                </c:pt>
                <c:pt idx="7">
                  <c:v>-0.41206807273304702</c:v>
                </c:pt>
                <c:pt idx="8">
                  <c:v>-0.35090299969012628</c:v>
                </c:pt>
                <c:pt idx="9">
                  <c:v>-0.28498984368358915</c:v>
                </c:pt>
                <c:pt idx="10">
                  <c:v>-0.21396002358195254</c:v>
                </c:pt>
                <c:pt idx="11">
                  <c:v>-0.13741634627464117</c:v>
                </c:pt>
                <c:pt idx="12">
                  <c:v>-5.4930785599670351E-2</c:v>
                </c:pt>
                <c:pt idx="13">
                  <c:v>3.3957911144644637E-2</c:v>
                </c:pt>
                <c:pt idx="14">
                  <c:v>0.12974680248814874</c:v>
                </c:pt>
                <c:pt idx="15">
                  <c:v>0.23297153230065404</c:v>
                </c:pt>
                <c:pt idx="16">
                  <c:v>0.34420932506990165</c:v>
                </c:pt>
                <c:pt idx="17">
                  <c:v>0.4640822136950371</c:v>
                </c:pt>
                <c:pt idx="18">
                  <c:v>0.59326051784515865</c:v>
                </c:pt>
                <c:pt idx="19">
                  <c:v>0.73246659233365086</c:v>
                </c:pt>
                <c:pt idx="20">
                  <c:v>0.88247886646890827</c:v>
                </c:pt>
                <c:pt idx="21">
                  <c:v>1.0441361969691789</c:v>
                </c:pt>
                <c:pt idx="22">
                  <c:v>1.2183425587826873</c:v>
                </c:pt>
                <c:pt idx="23">
                  <c:v>1.4060721000437202</c:v>
                </c:pt>
                <c:pt idx="24">
                  <c:v>1.6083745894315966</c:v>
                </c:pt>
                <c:pt idx="25">
                  <c:v>1.8263812863937166</c:v>
                </c:pt>
                <c:pt idx="26">
                  <c:v>2.0613112670585112</c:v>
                </c:pt>
                <c:pt idx="27">
                  <c:v>2.3144782412122948</c:v>
                </c:pt>
                <c:pt idx="28">
                  <c:v>2.5872978984600143</c:v>
                </c:pt>
                <c:pt idx="29">
                  <c:v>2.8812958246490554</c:v>
                </c:pt>
                <c:pt idx="30">
                  <c:v>3.1981160328240312</c:v>
                </c:pt>
                <c:pt idx="31">
                  <c:v>3.5395301564171984</c:v>
                </c:pt>
                <c:pt idx="32">
                  <c:v>3.9074473560817911</c:v>
                </c:pt>
                <c:pt idx="33">
                  <c:v>4.3039249955667227</c:v>
                </c:pt>
                <c:pt idx="34">
                  <c:v>4.7311801463312104</c:v>
                </c:pt>
                <c:pt idx="35">
                  <c:v>5.1916019852322233</c:v>
                </c:pt>
                <c:pt idx="36">
                  <c:v>5.6877651546116423</c:v>
                </c:pt>
                <c:pt idx="37">
                  <c:v>6.2224441594916797</c:v>
                </c:pt>
                <c:pt idx="38">
                  <c:v>6.7986288823865184</c:v>
                </c:pt>
                <c:pt idx="39">
                  <c:v>7.4195413024877981</c:v>
                </c:pt>
                <c:pt idx="40">
                  <c:v>8.088653512716224</c:v>
                </c:pt>
                <c:pt idx="41">
                  <c:v>8.8097071353893739</c:v>
                </c:pt>
                <c:pt idx="42">
                  <c:v>9.586734245076352</c:v>
                </c:pt>
                <c:pt idx="43">
                  <c:v>10.424079915638496</c:v>
                </c:pt>
                <c:pt idx="44">
                  <c:v>11.326426517537127</c:v>
                </c:pt>
                <c:pt idx="45">
                  <c:v>12.298819901277177</c:v>
                </c:pt>
                <c:pt idx="46">
                  <c:v>13.346697613402327</c:v>
                </c:pt>
                <c:pt idx="47">
                  <c:v>14.475919302823199</c:v>
                </c:pt>
                <c:pt idx="48">
                  <c:v>15.692799487508569</c:v>
                </c:pt>
                <c:pt idx="49">
                  <c:v>17.004142864768117</c:v>
                </c:pt>
                <c:pt idx="50">
                  <c:v>18.417282362579083</c:v>
                </c:pt>
              </c:numCache>
            </c:numRef>
          </c:xVal>
          <c:yVal>
            <c:numRef>
              <c:f>TOC!$J$63:$J$113</c:f>
              <c:numCache>
                <c:formatCode>General</c:formatCode>
                <c:ptCount val="51"/>
                <c:pt idx="0">
                  <c:v>8.5186590501885298E-6</c:v>
                </c:pt>
                <c:pt idx="1">
                  <c:v>2.1062563167885521E-5</c:v>
                </c:pt>
                <c:pt idx="2">
                  <c:v>5.0035636140648517E-5</c:v>
                </c:pt>
                <c:pt idx="3">
                  <c:v>1.142025631736383E-4</c:v>
                </c:pt>
                <c:pt idx="4">
                  <c:v>2.5043815624088722E-4</c:v>
                </c:pt>
                <c:pt idx="5">
                  <c:v>5.2765901806497029E-4</c:v>
                </c:pt>
                <c:pt idx="6">
                  <c:v>1.0681554305637807E-3</c:v>
                </c:pt>
                <c:pt idx="7">
                  <c:v>2.0775130542931438E-3</c:v>
                </c:pt>
                <c:pt idx="8">
                  <c:v>3.8822302631318214E-3</c:v>
                </c:pt>
                <c:pt idx="9">
                  <c:v>6.9702289055721357E-3</c:v>
                </c:pt>
                <c:pt idx="10">
                  <c:v>1.2023779728662063E-2</c:v>
                </c:pt>
                <c:pt idx="11">
                  <c:v>1.9927976529109839E-2</c:v>
                </c:pt>
                <c:pt idx="12">
                  <c:v>3.1733181465688529E-2</c:v>
                </c:pt>
                <c:pt idx="13">
                  <c:v>4.8550336930076335E-2</c:v>
                </c:pt>
                <c:pt idx="14">
                  <c:v>7.1367272917735786E-2</c:v>
                </c:pt>
                <c:pt idx="15">
                  <c:v>0.10079388296921336</c:v>
                </c:pt>
                <c:pt idx="16">
                  <c:v>0.136772086205809</c:v>
                </c:pt>
                <c:pt idx="17">
                  <c:v>0.17831545544521482</c:v>
                </c:pt>
                <c:pt idx="18">
                  <c:v>0.2233617089309084</c:v>
                </c:pt>
                <c:pt idx="19">
                  <c:v>0.26881696964030105</c:v>
                </c:pt>
                <c:pt idx="20">
                  <c:v>0.31083710752776333</c:v>
                </c:pt>
                <c:pt idx="21">
                  <c:v>0.34533234499188531</c:v>
                </c:pt>
                <c:pt idx="22">
                  <c:v>0.36861234613824451</c:v>
                </c:pt>
                <c:pt idx="23">
                  <c:v>0.3780338744496623</c:v>
                </c:pt>
                <c:pt idx="24">
                  <c:v>0.37249442592525311</c:v>
                </c:pt>
                <c:pt idx="25">
                  <c:v>0.3526444554307559</c:v>
                </c:pt>
                <c:pt idx="26">
                  <c:v>0.32076174115600686</c:v>
                </c:pt>
                <c:pt idx="27">
                  <c:v>0.28032142055170706</c:v>
                </c:pt>
                <c:pt idx="28">
                  <c:v>0.23537385974346633</c:v>
                </c:pt>
                <c:pt idx="29">
                  <c:v>0.18988400955894208</c:v>
                </c:pt>
                <c:pt idx="30">
                  <c:v>0.14717931553189265</c:v>
                </c:pt>
                <c:pt idx="31">
                  <c:v>0.10960576178186844</c:v>
                </c:pt>
                <c:pt idx="32">
                  <c:v>7.8423859493579953E-2</c:v>
                </c:pt>
                <c:pt idx="33">
                  <c:v>5.3912721934313644E-2</c:v>
                </c:pt>
                <c:pt idx="34">
                  <c:v>3.5609225435331578E-2</c:v>
                </c:pt>
                <c:pt idx="35">
                  <c:v>2.2597584339362743E-2</c:v>
                </c:pt>
                <c:pt idx="36">
                  <c:v>1.3778112469632677E-2</c:v>
                </c:pt>
                <c:pt idx="37">
                  <c:v>8.0713402561599142E-3</c:v>
                </c:pt>
                <c:pt idx="38">
                  <c:v>4.5428647466509986E-3</c:v>
                </c:pt>
                <c:pt idx="39">
                  <c:v>2.4566437317891216E-3</c:v>
                </c:pt>
                <c:pt idx="40">
                  <c:v>1.2763881722872483E-3</c:v>
                </c:pt>
                <c:pt idx="41">
                  <c:v>6.3716451981893113E-4</c:v>
                </c:pt>
                <c:pt idx="42">
                  <c:v>3.0559667050682931E-4</c:v>
                </c:pt>
                <c:pt idx="43">
                  <c:v>1.4082309108948349E-4</c:v>
                </c:pt>
                <c:pt idx="44">
                  <c:v>6.2348692195316941E-5</c:v>
                </c:pt>
                <c:pt idx="45">
                  <c:v>2.6522169386826801E-5</c:v>
                </c:pt>
                <c:pt idx="46">
                  <c:v>1.0839742391275139E-5</c:v>
                </c:pt>
                <c:pt idx="47">
                  <c:v>4.2565437227483272E-6</c:v>
                </c:pt>
                <c:pt idx="48">
                  <c:v>1.6059183369088839E-6</c:v>
                </c:pt>
                <c:pt idx="49">
                  <c:v>5.821273927483399E-7</c:v>
                </c:pt>
                <c:pt idx="50">
                  <c:v>2.0274065057475119E-7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30-4230-B00F-03D4C56D683D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TOC!$T$46:$T$97</c:f>
              <c:numCache>
                <c:formatCode>0.0</c:formatCode>
                <c:ptCount val="52"/>
                <c:pt idx="0">
                  <c:v>-2.7720000000000002E-3</c:v>
                </c:pt>
                <c:pt idx="1">
                  <c:v>2.7720000000000002E-3</c:v>
                </c:pt>
                <c:pt idx="2">
                  <c:v>0.27442800000000001</c:v>
                </c:pt>
                <c:pt idx="3">
                  <c:v>0.279972</c:v>
                </c:pt>
                <c:pt idx="4">
                  <c:v>0.55162800000000001</c:v>
                </c:pt>
                <c:pt idx="5">
                  <c:v>0.557172</c:v>
                </c:pt>
                <c:pt idx="6">
                  <c:v>0.82882800000000001</c:v>
                </c:pt>
                <c:pt idx="7">
                  <c:v>0.834372</c:v>
                </c:pt>
                <c:pt idx="8">
                  <c:v>1.106028</c:v>
                </c:pt>
                <c:pt idx="9">
                  <c:v>1.111572</c:v>
                </c:pt>
                <c:pt idx="10">
                  <c:v>1.3832280000000001</c:v>
                </c:pt>
                <c:pt idx="11">
                  <c:v>1.3887720000000001</c:v>
                </c:pt>
                <c:pt idx="12">
                  <c:v>1.660428</c:v>
                </c:pt>
                <c:pt idx="13">
                  <c:v>1.665972</c:v>
                </c:pt>
                <c:pt idx="14">
                  <c:v>1.9376279999999999</c:v>
                </c:pt>
                <c:pt idx="15">
                  <c:v>1.9431719999999999</c:v>
                </c:pt>
                <c:pt idx="16">
                  <c:v>2.2148279999999998</c:v>
                </c:pt>
                <c:pt idx="17">
                  <c:v>2.2203720000000002</c:v>
                </c:pt>
                <c:pt idx="18">
                  <c:v>2.4920279999999999</c:v>
                </c:pt>
                <c:pt idx="19">
                  <c:v>2.4975720000000003</c:v>
                </c:pt>
                <c:pt idx="20">
                  <c:v>2.769228</c:v>
                </c:pt>
                <c:pt idx="21">
                  <c:v>2.7747720000000005</c:v>
                </c:pt>
                <c:pt idx="22">
                  <c:v>3.0464279999999997</c:v>
                </c:pt>
                <c:pt idx="23">
                  <c:v>3.0519720000000001</c:v>
                </c:pt>
                <c:pt idx="24">
                  <c:v>3.3236279999999998</c:v>
                </c:pt>
                <c:pt idx="25">
                  <c:v>3.3291720000000002</c:v>
                </c:pt>
                <c:pt idx="26">
                  <c:v>3.6008279999999999</c:v>
                </c:pt>
                <c:pt idx="27">
                  <c:v>3.6063720000000004</c:v>
                </c:pt>
                <c:pt idx="28">
                  <c:v>3.8780279999999996</c:v>
                </c:pt>
                <c:pt idx="29">
                  <c:v>3.883572</c:v>
                </c:pt>
                <c:pt idx="30">
                  <c:v>4.1552280000000001</c:v>
                </c:pt>
                <c:pt idx="31">
                  <c:v>4.1607720000000006</c:v>
                </c:pt>
                <c:pt idx="32">
                  <c:v>4.4324279999999998</c:v>
                </c:pt>
                <c:pt idx="33">
                  <c:v>4.4379720000000002</c:v>
                </c:pt>
                <c:pt idx="34">
                  <c:v>4.7096279999999995</c:v>
                </c:pt>
                <c:pt idx="35">
                  <c:v>4.7151719999999999</c:v>
                </c:pt>
                <c:pt idx="36">
                  <c:v>4.986828</c:v>
                </c:pt>
                <c:pt idx="37">
                  <c:v>4.9923720000000005</c:v>
                </c:pt>
                <c:pt idx="38">
                  <c:v>5.2640279999999997</c:v>
                </c:pt>
                <c:pt idx="39">
                  <c:v>5.2695720000000001</c:v>
                </c:pt>
                <c:pt idx="40">
                  <c:v>5.5412280000000003</c:v>
                </c:pt>
                <c:pt idx="41">
                  <c:v>5.5467720000000007</c:v>
                </c:pt>
                <c:pt idx="42">
                  <c:v>5.8184279999999999</c:v>
                </c:pt>
                <c:pt idx="43">
                  <c:v>5.8239720000000004</c:v>
                </c:pt>
                <c:pt idx="44">
                  <c:v>6.0956279999999996</c:v>
                </c:pt>
                <c:pt idx="45">
                  <c:v>6.101172</c:v>
                </c:pt>
                <c:pt idx="46">
                  <c:v>6.3728280000000002</c:v>
                </c:pt>
                <c:pt idx="47">
                  <c:v>6.3783720000000006</c:v>
                </c:pt>
                <c:pt idx="48">
                  <c:v>6.6500279999999998</c:v>
                </c:pt>
                <c:pt idx="49">
                  <c:v>6.6555720000000003</c:v>
                </c:pt>
                <c:pt idx="50">
                  <c:v>6.9272279999999995</c:v>
                </c:pt>
                <c:pt idx="51">
                  <c:v>6.9327719999999999</c:v>
                </c:pt>
              </c:numCache>
            </c:numRef>
          </c:xVal>
          <c:yVal>
            <c:numRef>
              <c:f>TOC!$U$46:$U$97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1.3061650992685474</c:v>
                </c:pt>
                <c:pt idx="10">
                  <c:v>1.3061650992685474</c:v>
                </c:pt>
                <c:pt idx="11">
                  <c:v>0.31099169030203511</c:v>
                </c:pt>
                <c:pt idx="12">
                  <c:v>0.31099169030203511</c:v>
                </c:pt>
                <c:pt idx="13">
                  <c:v>0.4975867044832562</c:v>
                </c:pt>
                <c:pt idx="14">
                  <c:v>0.4975867044832562</c:v>
                </c:pt>
                <c:pt idx="15">
                  <c:v>0.31099169030203511</c:v>
                </c:pt>
                <c:pt idx="16">
                  <c:v>0.31099169030203511</c:v>
                </c:pt>
                <c:pt idx="17">
                  <c:v>0.12439667612081405</c:v>
                </c:pt>
                <c:pt idx="18">
                  <c:v>0.12439667612081405</c:v>
                </c:pt>
                <c:pt idx="19">
                  <c:v>0.12439667612081405</c:v>
                </c:pt>
                <c:pt idx="20">
                  <c:v>0.12439667612081405</c:v>
                </c:pt>
                <c:pt idx="21">
                  <c:v>0.2487933522416281</c:v>
                </c:pt>
                <c:pt idx="22">
                  <c:v>0.2487933522416281</c:v>
                </c:pt>
                <c:pt idx="23">
                  <c:v>0.12439667612081405</c:v>
                </c:pt>
                <c:pt idx="24">
                  <c:v>0.12439667612081405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6.2198338060407025E-2</c:v>
                </c:pt>
                <c:pt idx="30">
                  <c:v>6.2198338060407025E-2</c:v>
                </c:pt>
                <c:pt idx="31">
                  <c:v>6.2198338060407025E-2</c:v>
                </c:pt>
                <c:pt idx="32">
                  <c:v>6.2198338060407025E-2</c:v>
                </c:pt>
                <c:pt idx="33">
                  <c:v>0</c:v>
                </c:pt>
                <c:pt idx="34">
                  <c:v>0</c:v>
                </c:pt>
                <c:pt idx="35">
                  <c:v>6.2198338060407025E-2</c:v>
                </c:pt>
                <c:pt idx="36">
                  <c:v>6.2198338060407025E-2</c:v>
                </c:pt>
                <c:pt idx="37">
                  <c:v>0.12439667612081405</c:v>
                </c:pt>
                <c:pt idx="38">
                  <c:v>0.12439667612081405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0.1865950141812211</c:v>
                </c:pt>
                <c:pt idx="46">
                  <c:v>0.1865950141812211</c:v>
                </c:pt>
                <c:pt idx="47">
                  <c:v>0</c:v>
                </c:pt>
                <c:pt idx="48">
                  <c:v>0</c:v>
                </c:pt>
                <c:pt idx="49">
                  <c:v>6.2198338060407025E-2</c:v>
                </c:pt>
                <c:pt idx="50">
                  <c:v>6.2198338060407025E-2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30-4230-B00F-03D4C56D683D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TOC!$U$3:$V$3</c:f>
              <c:numCache>
                <c:formatCode>0.000</c:formatCode>
                <c:ptCount val="2"/>
                <c:pt idx="0">
                  <c:v>5.0020934346280495</c:v>
                </c:pt>
                <c:pt idx="1">
                  <c:v>5.0020934346280495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30-4230-B00F-03D4C56D683D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TOC!$U$4:$V$4</c:f>
              <c:numCache>
                <c:formatCode>0.000</c:formatCode>
                <c:ptCount val="2"/>
                <c:pt idx="0">
                  <c:v>4.3969854911213657</c:v>
                </c:pt>
                <c:pt idx="1">
                  <c:v>4.3969854911213657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30-4230-B00F-03D4C56D683D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TOC!$U$5:$V$5</c:f>
              <c:numCache>
                <c:formatCode>0.000</c:formatCode>
                <c:ptCount val="2"/>
                <c:pt idx="0">
                  <c:v>5.5497501418531812</c:v>
                </c:pt>
                <c:pt idx="1">
                  <c:v>5.5497501418531812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30-4230-B00F-03D4C56D683D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TOC!$U$6:$V$6</c:f>
              <c:numCache>
                <c:formatCode>0.000</c:formatCode>
                <c:ptCount val="2"/>
                <c:pt idx="0">
                  <c:v>5.3213195951777825</c:v>
                </c:pt>
                <c:pt idx="1">
                  <c:v>5.3213195951777825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30-4230-B00F-03D4C56D683D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TOC!$U$7:$V$7</c:f>
              <c:numCache>
                <c:formatCode>0.000</c:formatCode>
                <c:ptCount val="2"/>
                <c:pt idx="0">
                  <c:v>-0.85726584842115194</c:v>
                </c:pt>
                <c:pt idx="1">
                  <c:v>-0.85726584842115194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30-4230-B00F-03D4C56D683D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TOC!$U$8:$V$8</c:f>
              <c:numCache>
                <c:formatCode>0.000</c:formatCode>
                <c:ptCount val="2"/>
                <c:pt idx="0">
                  <c:v>0.37471609229452896</c:v>
                </c:pt>
                <c:pt idx="1">
                  <c:v>0.37471609229452896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230-4230-B00F-03D4C56D683D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TOC!$U$11:$V$11</c:f>
              <c:numCache>
                <c:formatCode>0.000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xVal>
          <c:yVal>
            <c:numRef>
              <c:f>TOC!$U$2:$V$2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230-4230-B00F-03D4C56D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88800"/>
        <c:axId val="150190336"/>
      </c:scatterChart>
      <c:valAx>
        <c:axId val="150188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190336"/>
        <c:crosses val="autoZero"/>
        <c:crossBetween val="midCat"/>
        <c:majorUnit val="2"/>
        <c:minorUnit val="1"/>
      </c:valAx>
      <c:valAx>
        <c:axId val="150190336"/>
        <c:scaling>
          <c:orientation val="minMax"/>
          <c:max val="1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188800"/>
        <c:crosses val="autoZero"/>
        <c:crossBetween val="midCat"/>
        <c:majorUnit val="0.2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TOC!$M$3:$M$252</c:f>
              <c:numCache>
                <c:formatCode>d/m/yyyy;@</c:formatCode>
                <c:ptCount val="250"/>
                <c:pt idx="0">
                  <c:v>35908</c:v>
                </c:pt>
                <c:pt idx="1">
                  <c:v>36108</c:v>
                </c:pt>
                <c:pt idx="2">
                  <c:v>36651</c:v>
                </c:pt>
                <c:pt idx="3">
                  <c:v>36838</c:v>
                </c:pt>
                <c:pt idx="4">
                  <c:v>37006</c:v>
                </c:pt>
                <c:pt idx="5">
                  <c:v>37172</c:v>
                </c:pt>
                <c:pt idx="6">
                  <c:v>37354</c:v>
                </c:pt>
                <c:pt idx="7">
                  <c:v>37573</c:v>
                </c:pt>
                <c:pt idx="8">
                  <c:v>37750</c:v>
                </c:pt>
                <c:pt idx="9">
                  <c:v>37930</c:v>
                </c:pt>
                <c:pt idx="10">
                  <c:v>38183</c:v>
                </c:pt>
                <c:pt idx="11">
                  <c:v>38281</c:v>
                </c:pt>
                <c:pt idx="12">
                  <c:v>38344</c:v>
                </c:pt>
                <c:pt idx="13">
                  <c:v>38391</c:v>
                </c:pt>
                <c:pt idx="14">
                  <c:v>38460</c:v>
                </c:pt>
                <c:pt idx="15">
                  <c:v>38553</c:v>
                </c:pt>
                <c:pt idx="16">
                  <c:v>38701</c:v>
                </c:pt>
                <c:pt idx="17">
                  <c:v>39079</c:v>
                </c:pt>
                <c:pt idx="18">
                  <c:v>39127</c:v>
                </c:pt>
                <c:pt idx="19">
                  <c:v>39226</c:v>
                </c:pt>
                <c:pt idx="20">
                  <c:v>39308</c:v>
                </c:pt>
                <c:pt idx="21">
                  <c:v>39408</c:v>
                </c:pt>
                <c:pt idx="22">
                  <c:v>39505</c:v>
                </c:pt>
                <c:pt idx="23">
                  <c:v>39596</c:v>
                </c:pt>
                <c:pt idx="24">
                  <c:v>39674</c:v>
                </c:pt>
                <c:pt idx="25">
                  <c:v>39758</c:v>
                </c:pt>
                <c:pt idx="26">
                  <c:v>39856</c:v>
                </c:pt>
                <c:pt idx="27">
                  <c:v>39960</c:v>
                </c:pt>
                <c:pt idx="28">
                  <c:v>40052</c:v>
                </c:pt>
                <c:pt idx="29">
                  <c:v>40122</c:v>
                </c:pt>
                <c:pt idx="30">
                  <c:v>40234</c:v>
                </c:pt>
                <c:pt idx="31">
                  <c:v>40326</c:v>
                </c:pt>
                <c:pt idx="32">
                  <c:v>40403</c:v>
                </c:pt>
                <c:pt idx="33">
                  <c:v>40507</c:v>
                </c:pt>
                <c:pt idx="34">
                  <c:v>40577</c:v>
                </c:pt>
                <c:pt idx="35">
                  <c:v>40682</c:v>
                </c:pt>
                <c:pt idx="36">
                  <c:v>40759</c:v>
                </c:pt>
                <c:pt idx="37">
                  <c:v>40856</c:v>
                </c:pt>
                <c:pt idx="38">
                  <c:v>40961</c:v>
                </c:pt>
                <c:pt idx="39">
                  <c:v>41044</c:v>
                </c:pt>
                <c:pt idx="40">
                  <c:v>41123</c:v>
                </c:pt>
                <c:pt idx="41">
                  <c:v>41235</c:v>
                </c:pt>
                <c:pt idx="42">
                  <c:v>41326</c:v>
                </c:pt>
                <c:pt idx="43">
                  <c:v>41428</c:v>
                </c:pt>
                <c:pt idx="44">
                  <c:v>41494</c:v>
                </c:pt>
                <c:pt idx="45">
                  <c:v>41600</c:v>
                </c:pt>
                <c:pt idx="46">
                  <c:v>41684</c:v>
                </c:pt>
                <c:pt idx="47">
                  <c:v>41782</c:v>
                </c:pt>
                <c:pt idx="48">
                  <c:v>41880</c:v>
                </c:pt>
                <c:pt idx="49">
                  <c:v>41963</c:v>
                </c:pt>
                <c:pt idx="50">
                  <c:v>42045</c:v>
                </c:pt>
                <c:pt idx="51">
                  <c:v>42145</c:v>
                </c:pt>
                <c:pt idx="52">
                  <c:v>42236</c:v>
                </c:pt>
                <c:pt idx="53">
                  <c:v>42327</c:v>
                </c:pt>
                <c:pt idx="54">
                  <c:v>42417</c:v>
                </c:pt>
                <c:pt idx="55">
                  <c:v>42502</c:v>
                </c:pt>
                <c:pt idx="56">
                  <c:v>42607</c:v>
                </c:pt>
                <c:pt idx="57">
                  <c:v>42699</c:v>
                </c:pt>
              </c:numCache>
            </c:numRef>
          </c:xVal>
          <c:yVal>
            <c:numRef>
              <c:f>TOC!$N$3:$N$252</c:f>
              <c:numCache>
                <c:formatCode>General</c:formatCode>
                <c:ptCount val="250"/>
                <c:pt idx="0">
                  <c:v>6</c:v>
                </c:pt>
                <c:pt idx="1">
                  <c:v>6</c:v>
                </c:pt>
                <c:pt idx="2">
                  <c:v>6.6</c:v>
                </c:pt>
                <c:pt idx="3">
                  <c:v>4.9000000000000004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1.5</c:v>
                </c:pt>
                <c:pt idx="20">
                  <c:v>1</c:v>
                </c:pt>
                <c:pt idx="21">
                  <c:v>1</c:v>
                </c:pt>
                <c:pt idx="22">
                  <c:v>1.2</c:v>
                </c:pt>
                <c:pt idx="23">
                  <c:v>1.5</c:v>
                </c:pt>
                <c:pt idx="24">
                  <c:v>1.7</c:v>
                </c:pt>
                <c:pt idx="25">
                  <c:v>1.5</c:v>
                </c:pt>
                <c:pt idx="26">
                  <c:v>1.5</c:v>
                </c:pt>
                <c:pt idx="27">
                  <c:v>1.8</c:v>
                </c:pt>
                <c:pt idx="28">
                  <c:v>1.9</c:v>
                </c:pt>
                <c:pt idx="29">
                  <c:v>1.3</c:v>
                </c:pt>
                <c:pt idx="30">
                  <c:v>2.1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</c:v>
                </c:pt>
                <c:pt idx="34">
                  <c:v>1</c:v>
                </c:pt>
                <c:pt idx="35">
                  <c:v>1.5</c:v>
                </c:pt>
                <c:pt idx="36">
                  <c:v>1</c:v>
                </c:pt>
                <c:pt idx="37">
                  <c:v>1.2</c:v>
                </c:pt>
                <c:pt idx="38">
                  <c:v>1.4</c:v>
                </c:pt>
                <c:pt idx="39">
                  <c:v>2.8</c:v>
                </c:pt>
                <c:pt idx="40">
                  <c:v>2.4</c:v>
                </c:pt>
                <c:pt idx="41">
                  <c:v>1.6</c:v>
                </c:pt>
                <c:pt idx="42">
                  <c:v>2.4</c:v>
                </c:pt>
                <c:pt idx="43">
                  <c:v>1.2</c:v>
                </c:pt>
                <c:pt idx="44">
                  <c:v>1.8</c:v>
                </c:pt>
                <c:pt idx="45">
                  <c:v>3.8</c:v>
                </c:pt>
                <c:pt idx="46">
                  <c:v>4.5</c:v>
                </c:pt>
                <c:pt idx="47">
                  <c:v>2.7</c:v>
                </c:pt>
                <c:pt idx="48">
                  <c:v>4.8</c:v>
                </c:pt>
                <c:pt idx="49">
                  <c:v>2.6</c:v>
                </c:pt>
                <c:pt idx="50">
                  <c:v>1.9</c:v>
                </c:pt>
                <c:pt idx="51">
                  <c:v>5.9</c:v>
                </c:pt>
                <c:pt idx="52">
                  <c:v>3</c:v>
                </c:pt>
                <c:pt idx="53">
                  <c:v>2.7</c:v>
                </c:pt>
                <c:pt idx="54">
                  <c:v>2.6</c:v>
                </c:pt>
                <c:pt idx="55">
                  <c:v>1.5</c:v>
                </c:pt>
                <c:pt idx="56">
                  <c:v>1.1000000000000001</c:v>
                </c:pt>
                <c:pt idx="5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E0-4FD8-91D2-594F8E48DE9C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TOC!$E$57:$E$58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TOC!$F$57:$F$58</c:f>
              <c:numCache>
                <c:formatCode>0.000</c:formatCode>
                <c:ptCount val="2"/>
                <c:pt idx="0">
                  <c:v>5.0020934346280495</c:v>
                </c:pt>
                <c:pt idx="1">
                  <c:v>5.0020934346280495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E0-4FD8-91D2-594F8E48DE9C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TOC!$E$57:$E$58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TOC!$J$57:$J$58</c:f>
              <c:numCache>
                <c:formatCode>0.000</c:formatCode>
                <c:ptCount val="2"/>
                <c:pt idx="0">
                  <c:v>4.3969854911213657</c:v>
                </c:pt>
                <c:pt idx="1">
                  <c:v>4.3969854911213657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E0-4FD8-91D2-594F8E48DE9C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TOC!$G$122:$G$123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42699</c:v>
                </c:pt>
              </c:numCache>
            </c:numRef>
          </c:xVal>
          <c:yVal>
            <c:numRef>
              <c:f>TOC!$I$122:$I$123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E0-4FD8-91D2-594F8E48DE9C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TOC!$G$122:$G$123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42699</c:v>
                </c:pt>
              </c:numCache>
            </c:numRef>
          </c:xVal>
          <c:yVal>
            <c:numRef>
              <c:f>TOC!$J$122:$J$123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E0-4FD8-91D2-594F8E48DE9C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TOC!$E$57:$E$58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TOC!$G$57:$G$58</c:f>
              <c:numCache>
                <c:formatCode>0.000</c:formatCode>
                <c:ptCount val="2"/>
                <c:pt idx="0">
                  <c:v>-0.85726584842115194</c:v>
                </c:pt>
                <c:pt idx="1">
                  <c:v>-0.85726584842115194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E0-4FD8-91D2-594F8E48DE9C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TOC!$E$57:$E$58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TOC!$H$57:$H$58</c:f>
              <c:numCache>
                <c:formatCode>0.000</c:formatCode>
                <c:ptCount val="2"/>
                <c:pt idx="0">
                  <c:v>5.5497501418531812</c:v>
                </c:pt>
                <c:pt idx="1">
                  <c:v>5.5497501418531812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2E0-4FD8-91D2-594F8E48DE9C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TOC!$E$57:$E$58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TOC!$K$57:$K$58</c:f>
              <c:numCache>
                <c:formatCode>0.000</c:formatCode>
                <c:ptCount val="2"/>
                <c:pt idx="0">
                  <c:v>5.3213195951777825</c:v>
                </c:pt>
                <c:pt idx="1">
                  <c:v>5.3213195951777825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2E0-4FD8-91D2-594F8E48D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67232"/>
        <c:axId val="153305856"/>
      </c:scatterChart>
      <c:valAx>
        <c:axId val="15036723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305856"/>
        <c:crossesAt val="0"/>
        <c:crossBetween val="midCat"/>
        <c:majorUnit val="1461"/>
        <c:minorUnit val="365.25"/>
      </c:valAx>
      <c:valAx>
        <c:axId val="153305856"/>
        <c:scaling>
          <c:orientation val="minMax"/>
          <c:max val="1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367232"/>
        <c:crossesAt val="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Fluorid!$F$63:$F$113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Fluorid!$G$63:$G$113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39-4D76-A7B5-D9A50CD30AD8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Fluorid!$I$63:$I$113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Fluorid!$J$63:$J$113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39-4D76-A7B5-D9A50CD30AD8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Fluorid!$T$46:$T$97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xVal>
          <c:yVal>
            <c:numRef>
              <c:f>Fluorid!$U$46:$U$97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39-4D76-A7B5-D9A50CD30AD8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Fluorid!$U$3:$V$3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39-4D76-A7B5-D9A50CD30AD8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Fluorid!$U$4:$V$4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39-4D76-A7B5-D9A50CD30AD8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Fluorid!$U$5:$V$5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339-4D76-A7B5-D9A50CD30AD8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Fluorid!$U$6:$V$6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339-4D76-A7B5-D9A50CD30AD8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Fluorid!$U$7:$V$7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339-4D76-A7B5-D9A50CD30AD8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Fluorid!$U$8:$V$8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339-4D76-A7B5-D9A50CD30AD8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Fluorid!$U$11:$V$11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339-4D76-A7B5-D9A50CD30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51488"/>
        <c:axId val="150765568"/>
      </c:scatterChart>
      <c:valAx>
        <c:axId val="150751488"/>
        <c:scaling>
          <c:orientation val="minMax"/>
          <c:max val="2.5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765568"/>
        <c:crosses val="autoZero"/>
        <c:crossBetween val="midCat"/>
        <c:majorUnit val="1"/>
        <c:minorUnit val="0.2"/>
      </c:valAx>
      <c:valAx>
        <c:axId val="150765568"/>
        <c:scaling>
          <c:orientation val="minMax"/>
          <c:max val="3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751488"/>
        <c:crosses val="autoZero"/>
        <c:crossBetween val="midCat"/>
        <c:majorUnit val="1"/>
        <c:minorUnit val="0.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Fluorid!$M$3:$M$252</c:f>
              <c:numCache>
                <c:formatCode>d/m/yyyy;@</c:formatCode>
                <c:ptCount val="250"/>
              </c:numCache>
            </c:numRef>
          </c:xVal>
          <c:yVal>
            <c:numRef>
              <c:f>Fluorid!$N$3:$N$252</c:f>
              <c:numCache>
                <c:formatCode>General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68-4139-8926-F23E9A39BFD5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Fluorid!$E$57:$E$58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Fluorid!$F$57:$F$58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68-4139-8926-F23E9A39BFD5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Fluorid!$E$57:$E$58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Fluorid!$J$57:$J$58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68-4139-8926-F23E9A39BFD5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Fluorid!$G$122:$G$123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68-4139-8926-F23E9A39BFD5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Fluorid!$G$122:$G$123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Fluorid!$J$122:$J$123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68-4139-8926-F23E9A39BFD5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Fluorid!$E$57:$E$58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Fluorid!$G$57:$G$58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68-4139-8926-F23E9A39BFD5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Fluorid!$E$57:$E$58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Fluorid!$H$57:$H$58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A68-4139-8926-F23E9A39BFD5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Fluorid!$E$57:$E$58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Fluorid!$K$57:$K$58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68-4139-8926-F23E9A39B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03200"/>
        <c:axId val="150804736"/>
      </c:scatterChart>
      <c:valAx>
        <c:axId val="150803200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804736"/>
        <c:crossesAt val="0"/>
        <c:crossBetween val="midCat"/>
        <c:majorUnit val="1461"/>
        <c:minorUnit val="365.25"/>
      </c:valAx>
      <c:valAx>
        <c:axId val="150804736"/>
        <c:scaling>
          <c:orientation val="minMax"/>
          <c:max val="3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0803200"/>
        <c:crossesAt val="0"/>
        <c:crossBetween val="midCat"/>
        <c:majorUnit val="1"/>
        <c:minorUnit val="0.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'Cyanid, lfr'!$F$63:$F$113</c:f>
              <c:numCache>
                <c:formatCode>General</c:formatCode>
                <c:ptCount val="51"/>
                <c:pt idx="0">
                  <c:v>-0.11659041479625072</c:v>
                </c:pt>
                <c:pt idx="1">
                  <c:v>-0.11126695010313488</c:v>
                </c:pt>
                <c:pt idx="2">
                  <c:v>-0.10594348541001901</c:v>
                </c:pt>
                <c:pt idx="3">
                  <c:v>-0.10062002071690318</c:v>
                </c:pt>
                <c:pt idx="4">
                  <c:v>-9.5296556023787324E-2</c:v>
                </c:pt>
                <c:pt idx="5">
                  <c:v>-8.9973091330671467E-2</c:v>
                </c:pt>
                <c:pt idx="6">
                  <c:v>-8.4649626637555611E-2</c:v>
                </c:pt>
                <c:pt idx="7">
                  <c:v>-7.9326161944439769E-2</c:v>
                </c:pt>
                <c:pt idx="8">
                  <c:v>-7.4002697251323912E-2</c:v>
                </c:pt>
                <c:pt idx="9">
                  <c:v>-6.867923255820807E-2</c:v>
                </c:pt>
                <c:pt idx="10">
                  <c:v>-6.3355767865092213E-2</c:v>
                </c:pt>
                <c:pt idx="11">
                  <c:v>-5.8032303171976357E-2</c:v>
                </c:pt>
                <c:pt idx="12">
                  <c:v>-5.2708838478860515E-2</c:v>
                </c:pt>
                <c:pt idx="13">
                  <c:v>-4.7385373785744658E-2</c:v>
                </c:pt>
                <c:pt idx="14">
                  <c:v>-4.2061909092628816E-2</c:v>
                </c:pt>
                <c:pt idx="15">
                  <c:v>-3.6738444399512959E-2</c:v>
                </c:pt>
                <c:pt idx="16">
                  <c:v>-3.1414979706397103E-2</c:v>
                </c:pt>
                <c:pt idx="17">
                  <c:v>-2.6091515013281257E-2</c:v>
                </c:pt>
                <c:pt idx="18">
                  <c:v>-2.0768050320165401E-2</c:v>
                </c:pt>
                <c:pt idx="19">
                  <c:v>-1.5444585627049551E-2</c:v>
                </c:pt>
                <c:pt idx="20">
                  <c:v>-1.0121120933933699E-2</c:v>
                </c:pt>
                <c:pt idx="21">
                  <c:v>-4.7976562408178491E-3</c:v>
                </c:pt>
                <c:pt idx="22">
                  <c:v>5.2580845229800374E-4</c:v>
                </c:pt>
                <c:pt idx="23">
                  <c:v>5.8492731454138549E-3</c:v>
                </c:pt>
                <c:pt idx="24">
                  <c:v>1.1172737838529706E-2</c:v>
                </c:pt>
                <c:pt idx="25">
                  <c:v>1.6496202531645559E-2</c:v>
                </c:pt>
                <c:pt idx="26">
                  <c:v>2.1819667224761412E-2</c:v>
                </c:pt>
                <c:pt idx="27">
                  <c:v>2.7143131917877261E-2</c:v>
                </c:pt>
                <c:pt idx="28">
                  <c:v>3.2466596610993118E-2</c:v>
                </c:pt>
                <c:pt idx="29">
                  <c:v>3.7790061304109231E-2</c:v>
                </c:pt>
                <c:pt idx="30">
                  <c:v>4.311352599722508E-2</c:v>
                </c:pt>
                <c:pt idx="31">
                  <c:v>4.8436990690340936E-2</c:v>
                </c:pt>
                <c:pt idx="32">
                  <c:v>5.3760455383456779E-2</c:v>
                </c:pt>
                <c:pt idx="33">
                  <c:v>5.9083920076572635E-2</c:v>
                </c:pt>
                <c:pt idx="34">
                  <c:v>6.4407384769688492E-2</c:v>
                </c:pt>
                <c:pt idx="35">
                  <c:v>6.9730849462804348E-2</c:v>
                </c:pt>
                <c:pt idx="36">
                  <c:v>7.505431415592019E-2</c:v>
                </c:pt>
                <c:pt idx="37">
                  <c:v>8.0377778849036047E-2</c:v>
                </c:pt>
                <c:pt idx="38">
                  <c:v>8.5701243542151889E-2</c:v>
                </c:pt>
                <c:pt idx="39">
                  <c:v>9.1024708235267746E-2</c:v>
                </c:pt>
                <c:pt idx="40">
                  <c:v>9.6348172928383602E-2</c:v>
                </c:pt>
                <c:pt idx="41">
                  <c:v>0.10167163762149944</c:v>
                </c:pt>
                <c:pt idx="42">
                  <c:v>0.1069951023146153</c:v>
                </c:pt>
                <c:pt idx="43">
                  <c:v>0.11231856700773116</c:v>
                </c:pt>
                <c:pt idx="44">
                  <c:v>0.11764203170084701</c:v>
                </c:pt>
                <c:pt idx="45">
                  <c:v>0.12296549639396286</c:v>
                </c:pt>
                <c:pt idx="46">
                  <c:v>0.12828896108707871</c:v>
                </c:pt>
                <c:pt idx="47">
                  <c:v>0.13361242578019455</c:v>
                </c:pt>
                <c:pt idx="48">
                  <c:v>0.13893589047331042</c:v>
                </c:pt>
                <c:pt idx="49">
                  <c:v>0.14425935516642624</c:v>
                </c:pt>
                <c:pt idx="50">
                  <c:v>0.14958281985954183</c:v>
                </c:pt>
              </c:numCache>
            </c:numRef>
          </c:xVal>
          <c:yVal>
            <c:numRef>
              <c:f>'Cyanid, lfr'!$G$63:$G$113</c:f>
              <c:numCache>
                <c:formatCode>General</c:formatCode>
                <c:ptCount val="51"/>
                <c:pt idx="0">
                  <c:v>5.5855334840743097E-5</c:v>
                </c:pt>
                <c:pt idx="1">
                  <c:v>1.4882409556147565E-4</c:v>
                </c:pt>
                <c:pt idx="2">
                  <c:v>3.8098691923703793E-4</c:v>
                </c:pt>
                <c:pt idx="3">
                  <c:v>9.3707661186551714E-4</c:v>
                </c:pt>
                <c:pt idx="4">
                  <c:v>2.2144626161515941E-3</c:v>
                </c:pt>
                <c:pt idx="5">
                  <c:v>5.0279370101937821E-3</c:v>
                </c:pt>
                <c:pt idx="6">
                  <c:v>1.0968305140409685E-2</c:v>
                </c:pt>
                <c:pt idx="7">
                  <c:v>2.2988860277595738E-2</c:v>
                </c:pt>
                <c:pt idx="8">
                  <c:v>4.6293879625668964E-2</c:v>
                </c:pt>
                <c:pt idx="9">
                  <c:v>8.956904342947454E-2</c:v>
                </c:pt>
                <c:pt idx="10">
                  <c:v>0.16650240651240325</c:v>
                </c:pt>
                <c:pt idx="11">
                  <c:v>0.29737969684352367</c:v>
                </c:pt>
                <c:pt idx="12">
                  <c:v>0.51030560045793905</c:v>
                </c:pt>
                <c:pt idx="13">
                  <c:v>0.8413516980324055</c:v>
                </c:pt>
                <c:pt idx="14">
                  <c:v>1.3327633370840646</c:v>
                </c:pt>
                <c:pt idx="15">
                  <c:v>2.0284145617799454</c:v>
                </c:pt>
                <c:pt idx="16">
                  <c:v>2.9661193546747922</c:v>
                </c:pt>
                <c:pt idx="17">
                  <c:v>4.1672422406743914</c:v>
                </c:pt>
                <c:pt idx="18">
                  <c:v>5.6251886418770853</c:v>
                </c:pt>
                <c:pt idx="19">
                  <c:v>7.2954763928209649</c:v>
                </c:pt>
                <c:pt idx="20">
                  <c:v>9.0907233716437652</c:v>
                </c:pt>
                <c:pt idx="21">
                  <c:v>10.883571863869157</c:v>
                </c:pt>
                <c:pt idx="22">
                  <c:v>12.519087552988411</c:v>
                </c:pt>
                <c:pt idx="23">
                  <c:v>13.835731484405617</c:v>
                </c:pt>
                <c:pt idx="24">
                  <c:v>14.691285338330161</c:v>
                </c:pt>
                <c:pt idx="25">
                  <c:v>14.988068988879862</c:v>
                </c:pt>
                <c:pt idx="26">
                  <c:v>14.691285338330161</c:v>
                </c:pt>
                <c:pt idx="27">
                  <c:v>13.835731484405617</c:v>
                </c:pt>
                <c:pt idx="28">
                  <c:v>12.51908755298841</c:v>
                </c:pt>
                <c:pt idx="29">
                  <c:v>10.883571863869072</c:v>
                </c:pt>
                <c:pt idx="30">
                  <c:v>9.0907233716436746</c:v>
                </c:pt>
                <c:pt idx="31">
                  <c:v>7.295476392820877</c:v>
                </c:pt>
                <c:pt idx="32">
                  <c:v>5.625188641877009</c:v>
                </c:pt>
                <c:pt idx="33">
                  <c:v>4.1672422406743257</c:v>
                </c:pt>
                <c:pt idx="34">
                  <c:v>2.9661193546747389</c:v>
                </c:pt>
                <c:pt idx="35">
                  <c:v>2.0284145617799059</c:v>
                </c:pt>
                <c:pt idx="36">
                  <c:v>1.3327633370840375</c:v>
                </c:pt>
                <c:pt idx="37">
                  <c:v>0.84135169803238485</c:v>
                </c:pt>
                <c:pt idx="38">
                  <c:v>0.51030560045792606</c:v>
                </c:pt>
                <c:pt idx="39">
                  <c:v>0.29737969684351517</c:v>
                </c:pt>
                <c:pt idx="40">
                  <c:v>0.16650240651239823</c:v>
                </c:pt>
                <c:pt idx="41">
                  <c:v>8.9569043429471917E-2</c:v>
                </c:pt>
                <c:pt idx="42">
                  <c:v>4.6293879625667396E-2</c:v>
                </c:pt>
                <c:pt idx="43">
                  <c:v>2.298886027759494E-2</c:v>
                </c:pt>
                <c:pt idx="44">
                  <c:v>1.0968305140409265E-2</c:v>
                </c:pt>
                <c:pt idx="45">
                  <c:v>5.0279370101935852E-3</c:v>
                </c:pt>
                <c:pt idx="46">
                  <c:v>2.2144626161515035E-3</c:v>
                </c:pt>
                <c:pt idx="47">
                  <c:v>9.3707661186547702E-4</c:v>
                </c:pt>
                <c:pt idx="48">
                  <c:v>3.8098691923701901E-4</c:v>
                </c:pt>
                <c:pt idx="49">
                  <c:v>1.4882409556146877E-4</c:v>
                </c:pt>
                <c:pt idx="50">
                  <c:v>5.5855334840743097E-5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24-4D83-AE27-76959944A708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'Cyanid, lfr'!$I$63:$I$113</c:f>
              <c:numCache>
                <c:formatCode>General</c:formatCode>
                <c:ptCount val="51"/>
                <c:pt idx="0">
                  <c:v>-8.2153874506057638E-3</c:v>
                </c:pt>
                <c:pt idx="1">
                  <c:v>-8.0265099873670885E-3</c:v>
                </c:pt>
                <c:pt idx="2">
                  <c:v>-7.8176423609237541E-3</c:v>
                </c:pt>
                <c:pt idx="3">
                  <c:v>-7.5866688788151677E-3</c:v>
                </c:pt>
                <c:pt idx="4">
                  <c:v>-7.3312499307196487E-3</c:v>
                </c:pt>
                <c:pt idx="5">
                  <c:v>-7.0487982897319132E-3</c:v>
                </c:pt>
                <c:pt idx="6">
                  <c:v>-6.7364529054465194E-3</c:v>
                </c:pt>
                <c:pt idx="7">
                  <c:v>-6.391049923388346E-3</c:v>
                </c:pt>
                <c:pt idx="8">
                  <c:v>-6.0090906372358361E-3</c:v>
                </c:pt>
                <c:pt idx="9">
                  <c:v>-5.5867060492140628E-3</c:v>
                </c:pt>
                <c:pt idx="10">
                  <c:v>-5.1196176796775E-3</c:v>
                </c:pt>
                <c:pt idx="11">
                  <c:v>-4.6030942289092755E-3</c:v>
                </c:pt>
                <c:pt idx="12">
                  <c:v>-4.0319036521491913E-3</c:v>
                </c:pt>
                <c:pt idx="13">
                  <c:v>-3.4002601624019664E-3</c:v>
                </c:pt>
                <c:pt idx="14">
                  <c:v>-2.7017656241987804E-3</c:v>
                </c:pt>
                <c:pt idx="15">
                  <c:v>-1.9293447446691991E-3</c:v>
                </c:pt>
                <c:pt idx="16">
                  <c:v>-1.0751734054515079E-3</c:v>
                </c:pt>
                <c:pt idx="17">
                  <c:v>-1.3059940949055639E-4</c:v>
                </c:pt>
                <c:pt idx="18">
                  <c:v>9.139451600600982E-4</c:v>
                </c:pt>
                <c:pt idx="19">
                  <c:v>2.0690408565785905E-3</c:v>
                </c:pt>
                <c:pt idx="20">
                  <c:v>3.3463880440609689E-3</c:v>
                </c:pt>
                <c:pt idx="21">
                  <c:v>4.75892541415672E-3</c:v>
                </c:pt>
                <c:pt idx="22">
                  <c:v>6.3209610466535161E-3</c:v>
                </c:pt>
                <c:pt idx="23">
                  <c:v>8.0483173409682165E-3</c:v>
                </c:pt>
                <c:pt idx="24">
                  <c:v>9.9584912867055047E-3</c:v>
                </c:pt>
                <c:pt idx="25">
                  <c:v>1.2070831696719833E-2</c:v>
                </c:pt>
                <c:pt idx="26">
                  <c:v>1.4406735197935937E-2</c:v>
                </c:pt>
                <c:pt idx="27">
                  <c:v>1.6989862965186585E-2</c:v>
                </c:pt>
                <c:pt idx="28">
                  <c:v>1.9846380393439715E-2</c:v>
                </c:pt>
                <c:pt idx="29">
                  <c:v>2.3005222136138002E-2</c:v>
                </c:pt>
                <c:pt idx="30">
                  <c:v>2.6498385194314827E-2</c:v>
                </c:pt>
                <c:pt idx="31">
                  <c:v>3.0361253025290351E-2</c:v>
                </c:pt>
                <c:pt idx="32">
                  <c:v>3.463295395395341E-2</c:v>
                </c:pt>
                <c:pt idx="33">
                  <c:v>3.9356757517103783E-2</c:v>
                </c:pt>
                <c:pt idx="34">
                  <c:v>4.4580512755562289E-2</c:v>
                </c:pt>
                <c:pt idx="35">
                  <c:v>5.035713289366231E-2</c:v>
                </c:pt>
                <c:pt idx="36">
                  <c:v>5.6745131315607815E-2</c:v>
                </c:pt>
                <c:pt idx="37">
                  <c:v>6.3809214267788891E-2</c:v>
                </c:pt>
                <c:pt idx="38">
                  <c:v>7.162093629074108E-2</c:v>
                </c:pt>
                <c:pt idx="39">
                  <c:v>8.0259425019845662E-2</c:v>
                </c:pt>
                <c:pt idx="40">
                  <c:v>8.9812182696528242E-2</c:v>
                </c:pt>
                <c:pt idx="41">
                  <c:v>0.10037597250873964</c:v>
                </c:pt>
                <c:pt idx="42">
                  <c:v>0.11205779873876857</c:v>
                </c:pt>
                <c:pt idx="43">
                  <c:v>0.12497599064664273</c:v>
                </c:pt>
                <c:pt idx="44">
                  <c:v>0.13926140106814774</c:v>
                </c:pt>
                <c:pt idx="45">
                  <c:v>0.15505873186847841</c:v>
                </c:pt>
                <c:pt idx="46">
                  <c:v>0.17252799967750121</c:v>
                </c:pt>
                <c:pt idx="47">
                  <c:v>0.19184615675356706</c:v>
                </c:pt>
                <c:pt idx="48">
                  <c:v>0.21320888339416505</c:v>
                </c:pt>
                <c:pt idx="49">
                  <c:v>0.23683257004936498</c:v>
                </c:pt>
                <c:pt idx="50">
                  <c:v>0.26295650921556057</c:v>
                </c:pt>
              </c:numCache>
            </c:numRef>
          </c:xVal>
          <c:yVal>
            <c:numRef>
              <c:f>'Cyanid, lfr'!$J$63:$J$113</c:f>
              <c:numCache>
                <c:formatCode>General</c:formatCode>
                <c:ptCount val="51"/>
                <c:pt idx="0">
                  <c:v>1.6561799331389882E-3</c:v>
                </c:pt>
                <c:pt idx="1">
                  <c:v>3.990479832630925E-3</c:v>
                </c:pt>
                <c:pt idx="2">
                  <c:v>9.237850785388536E-3</c:v>
                </c:pt>
                <c:pt idx="3">
                  <c:v>2.0546837512270398E-2</c:v>
                </c:pt>
                <c:pt idx="4">
                  <c:v>4.390836347482277E-2</c:v>
                </c:pt>
                <c:pt idx="5">
                  <c:v>9.0152491904845519E-2</c:v>
                </c:pt>
                <c:pt idx="6">
                  <c:v>0.17784286298236632</c:v>
                </c:pt>
                <c:pt idx="7">
                  <c:v>0.3370725352444211</c:v>
                </c:pt>
                <c:pt idx="8">
                  <c:v>0.61381643794287499</c:v>
                </c:pt>
                <c:pt idx="9">
                  <c:v>1.0739446093562528</c:v>
                </c:pt>
                <c:pt idx="10">
                  <c:v>1.8053169965793594</c:v>
                </c:pt>
                <c:pt idx="11">
                  <c:v>2.9157701137529783</c:v>
                </c:pt>
                <c:pt idx="12">
                  <c:v>4.52461165792272</c:v>
                </c:pt>
                <c:pt idx="13">
                  <c:v>6.745863681679114</c:v>
                </c:pt>
                <c:pt idx="14">
                  <c:v>9.6632236747066642</c:v>
                </c:pt>
                <c:pt idx="15">
                  <c:v>13.299481951186118</c:v>
                </c:pt>
                <c:pt idx="16">
                  <c:v>17.586346968379015</c:v>
                </c:pt>
                <c:pt idx="17">
                  <c:v>22.343169021183918</c:v>
                </c:pt>
                <c:pt idx="18">
                  <c:v>27.273578549311175</c:v>
                </c:pt>
                <c:pt idx="19">
                  <c:v>31.986572072009889</c:v>
                </c:pt>
                <c:pt idx="20">
                  <c:v>36.04304681998768</c:v>
                </c:pt>
                <c:pt idx="21">
                  <c:v>39.021459807080639</c:v>
                </c:pt>
                <c:pt idx="22">
                  <c:v>40.589504502545658</c:v>
                </c:pt>
                <c:pt idx="23">
                  <c:v>40.565067933858984</c:v>
                </c:pt>
                <c:pt idx="24">
                  <c:v>38.951024607195869</c:v>
                </c:pt>
                <c:pt idx="25">
                  <c:v>35.934680319828914</c:v>
                </c:pt>
                <c:pt idx="26">
                  <c:v>31.852014574104725</c:v>
                </c:pt>
                <c:pt idx="27">
                  <c:v>27.126155474467392</c:v>
                </c:pt>
                <c:pt idx="28">
                  <c:v>22.195646948017352</c:v>
                </c:pt>
                <c:pt idx="29">
                  <c:v>17.449202810049687</c:v>
                </c:pt>
                <c:pt idx="30">
                  <c:v>13.179884167169632</c:v>
                </c:pt>
                <c:pt idx="31">
                  <c:v>9.56479832172408</c:v>
                </c:pt>
                <c:pt idx="32">
                  <c:v>6.6691158490845108</c:v>
                </c:pt>
                <c:pt idx="33">
                  <c:v>4.4677506510654723</c:v>
                </c:pt>
                <c:pt idx="34">
                  <c:v>2.8756618287421274</c:v>
                </c:pt>
                <c:pt idx="35">
                  <c:v>1.778340500229193</c:v>
                </c:pt>
                <c:pt idx="36">
                  <c:v>1.0566234542309925</c:v>
                </c:pt>
                <c:pt idx="37">
                  <c:v>0.60318953020492561</c:v>
                </c:pt>
                <c:pt idx="38">
                  <c:v>0.3308381346533793</c:v>
                </c:pt>
                <c:pt idx="39">
                  <c:v>0.1743434167747788</c:v>
                </c:pt>
                <c:pt idx="40">
                  <c:v>8.8272161921069542E-2</c:v>
                </c:pt>
                <c:pt idx="41">
                  <c:v>4.2940806230048582E-2</c:v>
                </c:pt>
                <c:pt idx="42">
                  <c:v>2.0069883239886729E-2</c:v>
                </c:pt>
                <c:pt idx="43">
                  <c:v>9.0125506474603278E-3</c:v>
                </c:pt>
                <c:pt idx="44">
                  <c:v>3.8884705263362877E-3</c:v>
                </c:pt>
                <c:pt idx="45">
                  <c:v>1.6119001114494214E-3</c:v>
                </c:pt>
                <c:pt idx="46">
                  <c:v>6.4198615156280158E-4</c:v>
                </c:pt>
                <c:pt idx="47">
                  <c:v>2.4566394132947208E-4</c:v>
                </c:pt>
                <c:pt idx="48">
                  <c:v>9.0320304118618664E-5</c:v>
                </c:pt>
                <c:pt idx="49">
                  <c:v>3.1904914710950902E-5</c:v>
                </c:pt>
                <c:pt idx="50">
                  <c:v>1.0828243302307894E-5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24-4D83-AE27-76959944A708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'Cyanid, lfr'!$T$46:$T$97</c:f>
              <c:numCache>
                <c:formatCode>0.0</c:formatCode>
                <c:ptCount val="52"/>
                <c:pt idx="0">
                  <c:v>-8.8200000000000003E-5</c:v>
                </c:pt>
                <c:pt idx="1">
                  <c:v>8.8200000000000003E-5</c:v>
                </c:pt>
                <c:pt idx="2">
                  <c:v>8.7317999999999996E-3</c:v>
                </c:pt>
                <c:pt idx="3">
                  <c:v>8.9081999999999998E-3</c:v>
                </c:pt>
                <c:pt idx="4">
                  <c:v>1.7551799999999999E-2</c:v>
                </c:pt>
                <c:pt idx="5">
                  <c:v>1.77282E-2</c:v>
                </c:pt>
                <c:pt idx="6">
                  <c:v>2.6371799999999997E-2</c:v>
                </c:pt>
                <c:pt idx="7">
                  <c:v>2.6548199999999997E-2</c:v>
                </c:pt>
                <c:pt idx="8">
                  <c:v>3.5191800000000002E-2</c:v>
                </c:pt>
                <c:pt idx="9">
                  <c:v>3.5368199999999995E-2</c:v>
                </c:pt>
                <c:pt idx="10">
                  <c:v>4.4011800000000004E-2</c:v>
                </c:pt>
                <c:pt idx="11">
                  <c:v>4.4188199999999997E-2</c:v>
                </c:pt>
                <c:pt idx="12">
                  <c:v>5.2831799999999998E-2</c:v>
                </c:pt>
                <c:pt idx="13">
                  <c:v>5.3008199999999991E-2</c:v>
                </c:pt>
                <c:pt idx="14">
                  <c:v>6.16518E-2</c:v>
                </c:pt>
                <c:pt idx="15">
                  <c:v>6.1828199999999993E-2</c:v>
                </c:pt>
                <c:pt idx="16">
                  <c:v>7.0471800000000001E-2</c:v>
                </c:pt>
                <c:pt idx="17">
                  <c:v>7.0648199999999994E-2</c:v>
                </c:pt>
                <c:pt idx="18">
                  <c:v>7.9291799999999996E-2</c:v>
                </c:pt>
                <c:pt idx="19">
                  <c:v>7.9468199999999989E-2</c:v>
                </c:pt>
                <c:pt idx="20">
                  <c:v>8.8111800000000004E-2</c:v>
                </c:pt>
                <c:pt idx="21">
                  <c:v>8.8288199999999997E-2</c:v>
                </c:pt>
                <c:pt idx="22">
                  <c:v>9.6931799999999999E-2</c:v>
                </c:pt>
                <c:pt idx="23">
                  <c:v>9.7108199999999992E-2</c:v>
                </c:pt>
                <c:pt idx="24">
                  <c:v>0.10575179999999999</c:v>
                </c:pt>
                <c:pt idx="25">
                  <c:v>0.10592819999999999</c:v>
                </c:pt>
                <c:pt idx="26">
                  <c:v>0.1145718</c:v>
                </c:pt>
                <c:pt idx="27">
                  <c:v>0.11474819999999999</c:v>
                </c:pt>
                <c:pt idx="28">
                  <c:v>0.1233918</c:v>
                </c:pt>
                <c:pt idx="29">
                  <c:v>0.12356819999999999</c:v>
                </c:pt>
                <c:pt idx="30">
                  <c:v>0.13221179999999999</c:v>
                </c:pt>
                <c:pt idx="31">
                  <c:v>0.13238820000000001</c:v>
                </c:pt>
                <c:pt idx="32">
                  <c:v>0.14103179999999998</c:v>
                </c:pt>
                <c:pt idx="33">
                  <c:v>0.14120820000000001</c:v>
                </c:pt>
                <c:pt idx="34">
                  <c:v>0.14985179999999998</c:v>
                </c:pt>
                <c:pt idx="35">
                  <c:v>0.1500282</c:v>
                </c:pt>
                <c:pt idx="36">
                  <c:v>0.15867179999999997</c:v>
                </c:pt>
                <c:pt idx="37">
                  <c:v>0.15884819999999999</c:v>
                </c:pt>
                <c:pt idx="38">
                  <c:v>0.1674918</c:v>
                </c:pt>
                <c:pt idx="39">
                  <c:v>0.16766820000000002</c:v>
                </c:pt>
                <c:pt idx="40">
                  <c:v>0.17631179999999999</c:v>
                </c:pt>
                <c:pt idx="41">
                  <c:v>0.17648820000000001</c:v>
                </c:pt>
                <c:pt idx="42">
                  <c:v>0.18513179999999999</c:v>
                </c:pt>
                <c:pt idx="43">
                  <c:v>0.18530820000000001</c:v>
                </c:pt>
                <c:pt idx="44">
                  <c:v>0.19395179999999998</c:v>
                </c:pt>
                <c:pt idx="45">
                  <c:v>0.1941282</c:v>
                </c:pt>
                <c:pt idx="46">
                  <c:v>0.20277179999999997</c:v>
                </c:pt>
                <c:pt idx="47">
                  <c:v>0.2029482</c:v>
                </c:pt>
                <c:pt idx="48">
                  <c:v>0.21159179999999997</c:v>
                </c:pt>
                <c:pt idx="49">
                  <c:v>0.21176819999999999</c:v>
                </c:pt>
                <c:pt idx="50">
                  <c:v>0.22041179999999999</c:v>
                </c:pt>
                <c:pt idx="51">
                  <c:v>0.22058820000000001</c:v>
                </c:pt>
              </c:numCache>
            </c:numRef>
          </c:xVal>
          <c:yVal>
            <c:numRef>
              <c:f>'Cyanid, lfr'!$U$46:$U$97</c:f>
              <c:numCache>
                <c:formatCode>0.0000</c:formatCode>
                <c:ptCount val="52"/>
                <c:pt idx="0">
                  <c:v>0</c:v>
                </c:pt>
                <c:pt idx="1">
                  <c:v>37.314503860615979</c:v>
                </c:pt>
                <c:pt idx="2">
                  <c:v>37.314503860615979</c:v>
                </c:pt>
                <c:pt idx="3">
                  <c:v>37.314503860615979</c:v>
                </c:pt>
                <c:pt idx="4">
                  <c:v>37.314503860615979</c:v>
                </c:pt>
                <c:pt idx="5">
                  <c:v>51.666236114699046</c:v>
                </c:pt>
                <c:pt idx="6">
                  <c:v>51.666236114699046</c:v>
                </c:pt>
                <c:pt idx="7">
                  <c:v>2.8703464508166134</c:v>
                </c:pt>
                <c:pt idx="8">
                  <c:v>2.8703464508166134</c:v>
                </c:pt>
                <c:pt idx="9">
                  <c:v>15.786905479491374</c:v>
                </c:pt>
                <c:pt idx="10">
                  <c:v>15.786905479491374</c:v>
                </c:pt>
                <c:pt idx="11">
                  <c:v>0</c:v>
                </c:pt>
                <c:pt idx="12">
                  <c:v>0</c:v>
                </c:pt>
                <c:pt idx="13">
                  <c:v>1.4351732254083067</c:v>
                </c:pt>
                <c:pt idx="14">
                  <c:v>1.4351732254083067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1.4351732254083067</c:v>
                </c:pt>
                <c:pt idx="22">
                  <c:v>1.4351732254083067</c:v>
                </c:pt>
                <c:pt idx="23">
                  <c:v>1.4351732254083067</c:v>
                </c:pt>
                <c:pt idx="24">
                  <c:v>1.4351732254083067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1.4351732254083067</c:v>
                </c:pt>
                <c:pt idx="50">
                  <c:v>1.4351732254083067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24-4D83-AE27-76959944A708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'Cyanid, lfr'!$U$3:$V$3</c:f>
              <c:numCache>
                <c:formatCode>0.000</c:formatCode>
                <c:ptCount val="2"/>
                <c:pt idx="0">
                  <c:v>6.8665197889033747E-2</c:v>
                </c:pt>
                <c:pt idx="1">
                  <c:v>6.8665197889033747E-2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24-4D83-AE27-76959944A708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'Cyanid, lfr'!$U$4:$V$4</c:f>
              <c:numCache>
                <c:formatCode>0.000</c:formatCode>
                <c:ptCount val="2"/>
                <c:pt idx="0">
                  <c:v>4.048299565203315E-2</c:v>
                </c:pt>
                <c:pt idx="1">
                  <c:v>4.048299565203315E-2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24-4D83-AE27-76959944A708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'Cyanid, lfr'!$U$5:$V$5</c:f>
              <c:numCache>
                <c:formatCode>0.000</c:formatCode>
                <c:ptCount val="2"/>
                <c:pt idx="0">
                  <c:v>7.8417356388453249E-2</c:v>
                </c:pt>
                <c:pt idx="1">
                  <c:v>7.8417356388453249E-2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24-4D83-AE27-76959944A708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'Cyanid, lfr'!$U$6:$V$6</c:f>
              <c:numCache>
                <c:formatCode>0.000</c:formatCode>
                <c:ptCount val="2"/>
                <c:pt idx="0">
                  <c:v>5.201122593335239E-2</c:v>
                </c:pt>
                <c:pt idx="1">
                  <c:v>5.201122593335239E-2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24-4D83-AE27-76959944A708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'Cyanid, lfr'!$U$7:$V$7</c:f>
              <c:numCache>
                <c:formatCode>0.000</c:formatCode>
                <c:ptCount val="2"/>
                <c:pt idx="0">
                  <c:v>-3.5672792825742636E-2</c:v>
                </c:pt>
                <c:pt idx="1">
                  <c:v>-3.5672792825742636E-2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24-4D83-AE27-76959944A708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'Cyanid, lfr'!$U$8:$V$8</c:f>
              <c:numCache>
                <c:formatCode>0.000</c:formatCode>
                <c:ptCount val="2"/>
                <c:pt idx="0">
                  <c:v>-4.799382042800123</c:v>
                </c:pt>
                <c:pt idx="1">
                  <c:v>-4.799382042800123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F24-4D83-AE27-76959944A708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'Cyanid, lfr'!$U$11:$V$11</c:f>
              <c:numCache>
                <c:formatCode>0.000</c:formatCode>
                <c:ptCount val="2"/>
                <c:pt idx="0">
                  <c:v>0.01</c:v>
                </c:pt>
                <c:pt idx="1">
                  <c:v>0.01</c:v>
                </c:pt>
              </c:numCache>
            </c:numRef>
          </c:xVal>
          <c:yVal>
            <c:numRef>
              <c:f>'Cyanid, lfr'!$U$2:$V$2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F24-4D83-AE27-76959944A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00288"/>
        <c:axId val="153101824"/>
      </c:scatterChart>
      <c:valAx>
        <c:axId val="153100288"/>
        <c:scaling>
          <c:orientation val="minMax"/>
          <c:max val="0.15000000000000002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3101824"/>
        <c:crosses val="autoZero"/>
        <c:crossBetween val="midCat"/>
        <c:majorUnit val="5.000000000000001E-2"/>
        <c:minorUnit val="1.0000000000000002E-2"/>
      </c:valAx>
      <c:valAx>
        <c:axId val="153101824"/>
        <c:scaling>
          <c:orientation val="minMax"/>
          <c:max val="5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3100288"/>
        <c:crosses val="autoZero"/>
        <c:crossBetween val="midCat"/>
        <c:majorUnit val="1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'Cyanid, lfr'!$M$3:$M$252</c:f>
              <c:numCache>
                <c:formatCode>d/m/yyyy;@</c:formatCode>
                <c:ptCount val="250"/>
                <c:pt idx="0">
                  <c:v>35807</c:v>
                </c:pt>
                <c:pt idx="1">
                  <c:v>35892</c:v>
                </c:pt>
                <c:pt idx="2">
                  <c:v>35991</c:v>
                </c:pt>
                <c:pt idx="3">
                  <c:v>36088</c:v>
                </c:pt>
                <c:pt idx="4">
                  <c:v>36174</c:v>
                </c:pt>
                <c:pt idx="5">
                  <c:v>36262</c:v>
                </c:pt>
                <c:pt idx="6">
                  <c:v>36354</c:v>
                </c:pt>
                <c:pt idx="7">
                  <c:v>36440</c:v>
                </c:pt>
                <c:pt idx="8">
                  <c:v>36585</c:v>
                </c:pt>
                <c:pt idx="9">
                  <c:v>36628</c:v>
                </c:pt>
                <c:pt idx="10">
                  <c:v>36710</c:v>
                </c:pt>
                <c:pt idx="11">
                  <c:v>36806</c:v>
                </c:pt>
                <c:pt idx="12">
                  <c:v>36899</c:v>
                </c:pt>
                <c:pt idx="13">
                  <c:v>36952</c:v>
                </c:pt>
                <c:pt idx="14">
                  <c:v>37053</c:v>
                </c:pt>
                <c:pt idx="15">
                  <c:v>37140</c:v>
                </c:pt>
                <c:pt idx="16">
                  <c:v>37228</c:v>
                </c:pt>
                <c:pt idx="17">
                  <c:v>37319</c:v>
                </c:pt>
                <c:pt idx="18">
                  <c:v>37410</c:v>
                </c:pt>
                <c:pt idx="19">
                  <c:v>37501</c:v>
                </c:pt>
                <c:pt idx="20">
                  <c:v>37592</c:v>
                </c:pt>
                <c:pt idx="21">
                  <c:v>37683</c:v>
                </c:pt>
                <c:pt idx="22">
                  <c:v>37774</c:v>
                </c:pt>
                <c:pt idx="23">
                  <c:v>37865</c:v>
                </c:pt>
                <c:pt idx="24">
                  <c:v>37957</c:v>
                </c:pt>
                <c:pt idx="25">
                  <c:v>38054</c:v>
                </c:pt>
                <c:pt idx="26">
                  <c:v>38145</c:v>
                </c:pt>
                <c:pt idx="27">
                  <c:v>38236</c:v>
                </c:pt>
                <c:pt idx="28">
                  <c:v>38327</c:v>
                </c:pt>
                <c:pt idx="29">
                  <c:v>38418</c:v>
                </c:pt>
                <c:pt idx="30">
                  <c:v>38509</c:v>
                </c:pt>
                <c:pt idx="31">
                  <c:v>38600</c:v>
                </c:pt>
                <c:pt idx="32">
                  <c:v>38691</c:v>
                </c:pt>
                <c:pt idx="33">
                  <c:v>38782</c:v>
                </c:pt>
                <c:pt idx="34">
                  <c:v>38874</c:v>
                </c:pt>
                <c:pt idx="35">
                  <c:v>38965</c:v>
                </c:pt>
                <c:pt idx="36">
                  <c:v>39055</c:v>
                </c:pt>
                <c:pt idx="37">
                  <c:v>39146</c:v>
                </c:pt>
                <c:pt idx="38">
                  <c:v>39237</c:v>
                </c:pt>
                <c:pt idx="39">
                  <c:v>39328</c:v>
                </c:pt>
                <c:pt idx="40">
                  <c:v>39419</c:v>
                </c:pt>
                <c:pt idx="41">
                  <c:v>39510</c:v>
                </c:pt>
                <c:pt idx="42">
                  <c:v>39601</c:v>
                </c:pt>
                <c:pt idx="43">
                  <c:v>39692</c:v>
                </c:pt>
                <c:pt idx="44">
                  <c:v>39783</c:v>
                </c:pt>
                <c:pt idx="45">
                  <c:v>39874</c:v>
                </c:pt>
                <c:pt idx="46">
                  <c:v>39972</c:v>
                </c:pt>
                <c:pt idx="47">
                  <c:v>40063</c:v>
                </c:pt>
                <c:pt idx="48">
                  <c:v>40234</c:v>
                </c:pt>
                <c:pt idx="49">
                  <c:v>40336</c:v>
                </c:pt>
                <c:pt idx="50">
                  <c:v>40427</c:v>
                </c:pt>
                <c:pt idx="51">
                  <c:v>40546</c:v>
                </c:pt>
                <c:pt idx="52">
                  <c:v>40609</c:v>
                </c:pt>
                <c:pt idx="53">
                  <c:v>40700</c:v>
                </c:pt>
                <c:pt idx="54">
                  <c:v>40791</c:v>
                </c:pt>
                <c:pt idx="55">
                  <c:v>40882</c:v>
                </c:pt>
                <c:pt idx="56">
                  <c:v>40973</c:v>
                </c:pt>
                <c:pt idx="57">
                  <c:v>41064</c:v>
                </c:pt>
                <c:pt idx="58">
                  <c:v>41155</c:v>
                </c:pt>
                <c:pt idx="59">
                  <c:v>41246</c:v>
                </c:pt>
                <c:pt idx="60">
                  <c:v>41337</c:v>
                </c:pt>
                <c:pt idx="61">
                  <c:v>41428</c:v>
                </c:pt>
                <c:pt idx="62">
                  <c:v>41542</c:v>
                </c:pt>
                <c:pt idx="63">
                  <c:v>41610</c:v>
                </c:pt>
                <c:pt idx="64">
                  <c:v>41701</c:v>
                </c:pt>
                <c:pt idx="65">
                  <c:v>41813</c:v>
                </c:pt>
                <c:pt idx="66">
                  <c:v>41905</c:v>
                </c:pt>
                <c:pt idx="67">
                  <c:v>42000</c:v>
                </c:pt>
                <c:pt idx="68">
                  <c:v>42081</c:v>
                </c:pt>
                <c:pt idx="69">
                  <c:v>42184</c:v>
                </c:pt>
                <c:pt idx="70">
                  <c:v>42276</c:v>
                </c:pt>
                <c:pt idx="71">
                  <c:v>42366</c:v>
                </c:pt>
                <c:pt idx="72">
                  <c:v>42452</c:v>
                </c:pt>
                <c:pt idx="73">
                  <c:v>42550</c:v>
                </c:pt>
                <c:pt idx="74">
                  <c:v>42639</c:v>
                </c:pt>
                <c:pt idx="75">
                  <c:v>42732</c:v>
                </c:pt>
                <c:pt idx="76">
                  <c:v>42822</c:v>
                </c:pt>
                <c:pt idx="77">
                  <c:v>42916</c:v>
                </c:pt>
                <c:pt idx="78">
                  <c:v>43013</c:v>
                </c:pt>
              </c:numCache>
            </c:numRef>
          </c:xVal>
          <c:yVal>
            <c:numRef>
              <c:f>'Cyanid, lfr'!$N$3:$N$252</c:f>
              <c:numCache>
                <c:formatCode>General</c:formatCode>
                <c:ptCount val="250"/>
                <c:pt idx="0">
                  <c:v>3.0000000000000001E-3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0.01</c:v>
                </c:pt>
                <c:pt idx="4">
                  <c:v>0.21</c:v>
                </c:pt>
                <c:pt idx="5">
                  <c:v>1E-3</c:v>
                </c:pt>
                <c:pt idx="6">
                  <c:v>0.01</c:v>
                </c:pt>
                <c:pt idx="7">
                  <c:v>0.01</c:v>
                </c:pt>
                <c:pt idx="8">
                  <c:v>1.4E-2</c:v>
                </c:pt>
                <c:pt idx="9">
                  <c:v>1.4999999999999999E-2</c:v>
                </c:pt>
                <c:pt idx="10">
                  <c:v>0.05</c:v>
                </c:pt>
                <c:pt idx="11">
                  <c:v>0.01</c:v>
                </c:pt>
                <c:pt idx="12">
                  <c:v>4.0000000000000001E-3</c:v>
                </c:pt>
                <c:pt idx="13">
                  <c:v>9.0999999999999998E-2</c:v>
                </c:pt>
                <c:pt idx="14">
                  <c:v>3.0000000000000001E-3</c:v>
                </c:pt>
                <c:pt idx="15">
                  <c:v>5.0000000000000001E-3</c:v>
                </c:pt>
                <c:pt idx="16">
                  <c:v>4.0000000000000001E-3</c:v>
                </c:pt>
                <c:pt idx="17">
                  <c:v>4.0000000000000001E-3</c:v>
                </c:pt>
                <c:pt idx="18">
                  <c:v>5.0000000000000001E-3</c:v>
                </c:pt>
                <c:pt idx="19">
                  <c:v>3.1E-2</c:v>
                </c:pt>
                <c:pt idx="20">
                  <c:v>4.0000000000000001E-3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0.02</c:v>
                </c:pt>
                <c:pt idx="31">
                  <c:v>0.01</c:v>
                </c:pt>
                <c:pt idx="32">
                  <c:v>0.01</c:v>
                </c:pt>
                <c:pt idx="33">
                  <c:v>0.08</c:v>
                </c:pt>
                <c:pt idx="34">
                  <c:v>0.01</c:v>
                </c:pt>
                <c:pt idx="35">
                  <c:v>0.01</c:v>
                </c:pt>
                <c:pt idx="36">
                  <c:v>0.03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1.4E-2</c:v>
                </c:pt>
                <c:pt idx="58">
                  <c:v>0.01</c:v>
                </c:pt>
                <c:pt idx="59">
                  <c:v>0.01</c:v>
                </c:pt>
                <c:pt idx="60">
                  <c:v>2.1000000000000001E-2</c:v>
                </c:pt>
                <c:pt idx="61">
                  <c:v>1.0999999999999999E-2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1.4999999999999999E-2</c:v>
                </c:pt>
                <c:pt idx="65">
                  <c:v>6.1999999999999998E-3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5.0000000000000001E-3</c:v>
                </c:pt>
                <c:pt idx="69">
                  <c:v>5.0000000000000001E-3</c:v>
                </c:pt>
                <c:pt idx="70">
                  <c:v>0.01</c:v>
                </c:pt>
                <c:pt idx="71">
                  <c:v>5.0000000000000001E-3</c:v>
                </c:pt>
                <c:pt idx="72">
                  <c:v>5.0000000000000001E-3</c:v>
                </c:pt>
                <c:pt idx="73">
                  <c:v>6.0000000000000001E-3</c:v>
                </c:pt>
                <c:pt idx="74">
                  <c:v>7.0000000000000001E-3</c:v>
                </c:pt>
                <c:pt idx="75">
                  <c:v>5.0000000000000001E-3</c:v>
                </c:pt>
                <c:pt idx="76">
                  <c:v>8.0000000000000002E-3</c:v>
                </c:pt>
                <c:pt idx="77">
                  <c:v>5.0000000000000001E-3</c:v>
                </c:pt>
                <c:pt idx="78">
                  <c:v>5.0000000000000001E-3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6F-4659-B7AE-2F1F48AB01DA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'Cyanid, lfr'!$E$57:$E$58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'Cyanid, lfr'!$F$57:$F$58</c:f>
              <c:numCache>
                <c:formatCode>0.000</c:formatCode>
                <c:ptCount val="2"/>
                <c:pt idx="0">
                  <c:v>6.8665197889033747E-2</c:v>
                </c:pt>
                <c:pt idx="1">
                  <c:v>6.8665197889033747E-2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6F-4659-B7AE-2F1F48AB01DA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'Cyanid, lfr'!$E$57:$E$58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'Cyanid, lfr'!$J$57:$J$58</c:f>
              <c:numCache>
                <c:formatCode>0.000</c:formatCode>
                <c:ptCount val="2"/>
                <c:pt idx="0">
                  <c:v>4.048299565203315E-2</c:v>
                </c:pt>
                <c:pt idx="1">
                  <c:v>4.048299565203315E-2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6F-4659-B7AE-2F1F48AB01DA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'Cyanid, lfr'!$G$122:$G$123</c:f>
              <c:numCache>
                <c:formatCode>d/m/yyyy;@</c:formatCode>
                <c:ptCount val="2"/>
                <c:pt idx="0">
                  <c:v>1E-3</c:v>
                </c:pt>
                <c:pt idx="1">
                  <c:v>43013</c:v>
                </c:pt>
              </c:numCache>
            </c:numRef>
          </c:xVal>
          <c:yVal>
            <c:numRef>
              <c:f>'Cyanid, lfr'!$I$122:$I$123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6F-4659-B7AE-2F1F48AB01DA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'Cyanid, lfr'!$G$122:$G$123</c:f>
              <c:numCache>
                <c:formatCode>d/m/yyyy;@</c:formatCode>
                <c:ptCount val="2"/>
                <c:pt idx="0">
                  <c:v>1E-3</c:v>
                </c:pt>
                <c:pt idx="1">
                  <c:v>43013</c:v>
                </c:pt>
              </c:numCache>
            </c:numRef>
          </c:xVal>
          <c:yVal>
            <c:numRef>
              <c:f>'Cyanid, lfr'!$J$122:$J$123</c:f>
              <c:numCache>
                <c:formatCode>General</c:formatCode>
                <c:ptCount val="2"/>
                <c:pt idx="0">
                  <c:v>0.15764344286570597</c:v>
                </c:pt>
                <c:pt idx="1">
                  <c:v>3.4598517752487956E-3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6F-4659-B7AE-2F1F48AB01DA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'Cyanid, lfr'!$E$57:$E$58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'Cyanid, lfr'!$G$57:$G$58</c:f>
              <c:numCache>
                <c:formatCode>0.000</c:formatCode>
                <c:ptCount val="2"/>
                <c:pt idx="0">
                  <c:v>-3.5672792825742636E-2</c:v>
                </c:pt>
                <c:pt idx="1">
                  <c:v>-3.5672792825742636E-2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6F-4659-B7AE-2F1F48AB01DA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'Cyanid, lfr'!$E$57:$E$58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'Cyanid, lfr'!$H$57:$H$58</c:f>
              <c:numCache>
                <c:formatCode>0.000</c:formatCode>
                <c:ptCount val="2"/>
                <c:pt idx="0">
                  <c:v>7.8417356388453249E-2</c:v>
                </c:pt>
                <c:pt idx="1">
                  <c:v>7.8417356388453249E-2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E6F-4659-B7AE-2F1F48AB01DA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'Cyanid, lfr'!$E$57:$E$58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'Cyanid, lfr'!$K$57:$K$58</c:f>
              <c:numCache>
                <c:formatCode>0.000</c:formatCode>
                <c:ptCount val="2"/>
                <c:pt idx="0">
                  <c:v>5.201122593335239E-2</c:v>
                </c:pt>
                <c:pt idx="1">
                  <c:v>5.201122593335239E-2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6F-4659-B7AE-2F1F48AB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55840"/>
        <c:axId val="153157632"/>
      </c:scatterChart>
      <c:valAx>
        <c:axId val="153155840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157632"/>
        <c:crossesAt val="0"/>
        <c:crossBetween val="midCat"/>
        <c:majorUnit val="1461"/>
        <c:minorUnit val="365.25"/>
      </c:valAx>
      <c:valAx>
        <c:axId val="153157632"/>
        <c:scaling>
          <c:orientation val="minMax"/>
          <c:max val="0.1"/>
          <c:min val="0"/>
        </c:scaling>
        <c:delete val="0"/>
        <c:axPos val="l"/>
        <c:numFmt formatCode="#,##0.00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155840"/>
        <c:crossesAt val="0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Cyanid!$F$63:$F$113</c:f>
              <c:numCache>
                <c:formatCode>General</c:formatCode>
                <c:ptCount val="51"/>
                <c:pt idx="0">
                  <c:v>-0.13503943701560484</c:v>
                </c:pt>
                <c:pt idx="1">
                  <c:v>-0.12783563731275843</c:v>
                </c:pt>
                <c:pt idx="2">
                  <c:v>-0.120631837609912</c:v>
                </c:pt>
                <c:pt idx="3">
                  <c:v>-0.1134280379070656</c:v>
                </c:pt>
                <c:pt idx="4">
                  <c:v>-0.1062242382042192</c:v>
                </c:pt>
                <c:pt idx="5">
                  <c:v>-9.9020438501372765E-2</c:v>
                </c:pt>
                <c:pt idx="6">
                  <c:v>-9.1816638798526334E-2</c:v>
                </c:pt>
                <c:pt idx="7">
                  <c:v>-8.4612839095679931E-2</c:v>
                </c:pt>
                <c:pt idx="8">
                  <c:v>-7.7409039392833515E-2</c:v>
                </c:pt>
                <c:pt idx="9">
                  <c:v>-7.0205239689987098E-2</c:v>
                </c:pt>
                <c:pt idx="10">
                  <c:v>-6.3001439987140681E-2</c:v>
                </c:pt>
                <c:pt idx="11">
                  <c:v>-5.5797640284294264E-2</c:v>
                </c:pt>
                <c:pt idx="12">
                  <c:v>-4.8593840581447847E-2</c:v>
                </c:pt>
                <c:pt idx="13">
                  <c:v>-4.1390040878601431E-2</c:v>
                </c:pt>
                <c:pt idx="14">
                  <c:v>-3.4186241175755014E-2</c:v>
                </c:pt>
                <c:pt idx="15">
                  <c:v>-2.6982441472908597E-2</c:v>
                </c:pt>
                <c:pt idx="16">
                  <c:v>-1.977864177006218E-2</c:v>
                </c:pt>
                <c:pt idx="17">
                  <c:v>-1.2574842067215763E-2</c:v>
                </c:pt>
                <c:pt idx="18">
                  <c:v>-5.3710423643693467E-3</c:v>
                </c:pt>
                <c:pt idx="19">
                  <c:v>1.8327573384770701E-3</c:v>
                </c:pt>
                <c:pt idx="20">
                  <c:v>9.0365570413234869E-3</c:v>
                </c:pt>
                <c:pt idx="21">
                  <c:v>1.6240356744169904E-2</c:v>
                </c:pt>
                <c:pt idx="22">
                  <c:v>2.3444156447016321E-2</c:v>
                </c:pt>
                <c:pt idx="23">
                  <c:v>3.0647956149862737E-2</c:v>
                </c:pt>
                <c:pt idx="24">
                  <c:v>3.7851755852709154E-2</c:v>
                </c:pt>
                <c:pt idx="25">
                  <c:v>4.5055555555555571E-2</c:v>
                </c:pt>
                <c:pt idx="26">
                  <c:v>5.2259355258401988E-2</c:v>
                </c:pt>
                <c:pt idx="27">
                  <c:v>5.9463154961248404E-2</c:v>
                </c:pt>
                <c:pt idx="28">
                  <c:v>6.6666954664094821E-2</c:v>
                </c:pt>
                <c:pt idx="29">
                  <c:v>7.3870754366941599E-2</c:v>
                </c:pt>
                <c:pt idx="30">
                  <c:v>8.1074554069788016E-2</c:v>
                </c:pt>
                <c:pt idx="31">
                  <c:v>8.8278353772634433E-2</c:v>
                </c:pt>
                <c:pt idx="32">
                  <c:v>9.5482153475480835E-2</c:v>
                </c:pt>
                <c:pt idx="33">
                  <c:v>0.10268595317832727</c:v>
                </c:pt>
                <c:pt idx="34">
                  <c:v>0.10988975288117368</c:v>
                </c:pt>
                <c:pt idx="35">
                  <c:v>0.11709355258402011</c:v>
                </c:pt>
                <c:pt idx="36">
                  <c:v>0.12429735228686652</c:v>
                </c:pt>
                <c:pt idx="37">
                  <c:v>0.13150115198971293</c:v>
                </c:pt>
                <c:pt idx="38">
                  <c:v>0.13870495169255936</c:v>
                </c:pt>
                <c:pt idx="39">
                  <c:v>0.14590875139540577</c:v>
                </c:pt>
                <c:pt idx="40">
                  <c:v>0.1531125510982522</c:v>
                </c:pt>
                <c:pt idx="41">
                  <c:v>0.1603163508010986</c:v>
                </c:pt>
                <c:pt idx="42">
                  <c:v>0.16752015050394503</c:v>
                </c:pt>
                <c:pt idx="43">
                  <c:v>0.17472395020679143</c:v>
                </c:pt>
                <c:pt idx="44">
                  <c:v>0.18192774990963786</c:v>
                </c:pt>
                <c:pt idx="45">
                  <c:v>0.18913154961248427</c:v>
                </c:pt>
                <c:pt idx="46">
                  <c:v>0.19633534931533067</c:v>
                </c:pt>
                <c:pt idx="47">
                  <c:v>0.2035391490181771</c:v>
                </c:pt>
                <c:pt idx="48">
                  <c:v>0.21074294872102353</c:v>
                </c:pt>
                <c:pt idx="49">
                  <c:v>0.21794674842386991</c:v>
                </c:pt>
                <c:pt idx="50">
                  <c:v>0.22515054812671598</c:v>
                </c:pt>
              </c:numCache>
            </c:numRef>
          </c:xVal>
          <c:yVal>
            <c:numRef>
              <c:f>Cyanid!$G$63:$G$113</c:f>
              <c:numCache>
                <c:formatCode>General</c:formatCode>
                <c:ptCount val="51"/>
                <c:pt idx="0">
                  <c:v>4.1275981455921227E-5</c:v>
                </c:pt>
                <c:pt idx="1">
                  <c:v>1.0997804643199223E-4</c:v>
                </c:pt>
                <c:pt idx="2">
                  <c:v>2.8154175529005436E-4</c:v>
                </c:pt>
                <c:pt idx="3">
                  <c:v>6.9248097723200407E-4</c:v>
                </c:pt>
                <c:pt idx="4">
                  <c:v>1.6364438265336514E-3</c:v>
                </c:pt>
                <c:pt idx="5">
                  <c:v>3.7155454422755653E-3</c:v>
                </c:pt>
                <c:pt idx="6">
                  <c:v>8.1053593335223949E-3</c:v>
                </c:pt>
                <c:pt idx="7">
                  <c:v>1.6988310484867947E-2</c:v>
                </c:pt>
                <c:pt idx="8">
                  <c:v>3.4210256234251953E-2</c:v>
                </c:pt>
                <c:pt idx="9">
                  <c:v>6.6189741519959877E-2</c:v>
                </c:pt>
                <c:pt idx="10">
                  <c:v>0.12304196659401463</c:v>
                </c:pt>
                <c:pt idx="11">
                  <c:v>0.21975768093197701</c:v>
                </c:pt>
                <c:pt idx="12">
                  <c:v>0.3771056884971028</c:v>
                </c:pt>
                <c:pt idx="13">
                  <c:v>0.62174216992719034</c:v>
                </c:pt>
                <c:pt idx="14">
                  <c:v>0.98488559675568021</c:v>
                </c:pt>
                <c:pt idx="15">
                  <c:v>1.4989580149446622</c:v>
                </c:pt>
                <c:pt idx="16">
                  <c:v>2.1919032054624954</c:v>
                </c:pt>
                <c:pt idx="17">
                  <c:v>3.0795091272631501</c:v>
                </c:pt>
                <c:pt idx="18">
                  <c:v>4.1569025184468549</c:v>
                </c:pt>
                <c:pt idx="19">
                  <c:v>5.3912119435104442</c:v>
                </c:pt>
                <c:pt idx="20">
                  <c:v>6.7178637524731331</c:v>
                </c:pt>
                <c:pt idx="21">
                  <c:v>8.0427431275474728</c:v>
                </c:pt>
                <c:pt idx="22">
                  <c:v>9.2513566905568894</c:v>
                </c:pt>
                <c:pt idx="23">
                  <c:v>10.224330367148042</c:v>
                </c:pt>
                <c:pt idx="24">
                  <c:v>10.856567647791326</c:v>
                </c:pt>
                <c:pt idx="25">
                  <c:v>11.075884862367836</c:v>
                </c:pt>
                <c:pt idx="26">
                  <c:v>10.856567647791326</c:v>
                </c:pt>
                <c:pt idx="27">
                  <c:v>10.224330367148042</c:v>
                </c:pt>
                <c:pt idx="28">
                  <c:v>9.2513566905568894</c:v>
                </c:pt>
                <c:pt idx="29">
                  <c:v>8.0427431275474088</c:v>
                </c:pt>
                <c:pt idx="30">
                  <c:v>6.7178637524730656</c:v>
                </c:pt>
                <c:pt idx="31">
                  <c:v>5.3912119435103802</c:v>
                </c:pt>
                <c:pt idx="32">
                  <c:v>4.1569025184467989</c:v>
                </c:pt>
                <c:pt idx="33">
                  <c:v>3.0795091272631012</c:v>
                </c:pt>
                <c:pt idx="34">
                  <c:v>2.1919032054624554</c:v>
                </c:pt>
                <c:pt idx="35">
                  <c:v>1.4989580149446315</c:v>
                </c:pt>
                <c:pt idx="36">
                  <c:v>0.98488559675565912</c:v>
                </c:pt>
                <c:pt idx="37">
                  <c:v>0.62174216992717513</c:v>
                </c:pt>
                <c:pt idx="38">
                  <c:v>0.37710568849709275</c:v>
                </c:pt>
                <c:pt idx="39">
                  <c:v>0.21975768093197073</c:v>
                </c:pt>
                <c:pt idx="40">
                  <c:v>0.12304196659401094</c:v>
                </c:pt>
                <c:pt idx="41">
                  <c:v>6.6189741519957823E-2</c:v>
                </c:pt>
                <c:pt idx="42">
                  <c:v>3.4210256234250697E-2</c:v>
                </c:pt>
                <c:pt idx="43">
                  <c:v>1.6988310484867358E-2</c:v>
                </c:pt>
                <c:pt idx="44">
                  <c:v>8.1053593335220706E-3</c:v>
                </c:pt>
                <c:pt idx="45">
                  <c:v>3.7155454422754201E-3</c:v>
                </c:pt>
                <c:pt idx="46">
                  <c:v>1.6364438265335842E-3</c:v>
                </c:pt>
                <c:pt idx="47">
                  <c:v>6.9248097723197447E-4</c:v>
                </c:pt>
                <c:pt idx="48">
                  <c:v>2.8154175529004032E-4</c:v>
                </c:pt>
                <c:pt idx="49">
                  <c:v>1.0997804643198714E-4</c:v>
                </c:pt>
                <c:pt idx="50">
                  <c:v>4.1275981455921227E-5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4-48F0-86E0-E2DD9975BAE1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Cyanid!$I$63:$I$113</c:f>
              <c:numCache>
                <c:formatCode>General</c:formatCode>
                <c:ptCount val="51"/>
                <c:pt idx="0">
                  <c:v>4.6848173591453376E-3</c:v>
                </c:pt>
                <c:pt idx="1">
                  <c:v>5.1658892065315834E-3</c:v>
                </c:pt>
                <c:pt idx="2">
                  <c:v>5.6963610848274207E-3</c:v>
                </c:pt>
                <c:pt idx="3">
                  <c:v>6.2813057561725066E-3</c:v>
                </c:pt>
                <c:pt idx="4">
                  <c:v>6.926316891605758E-3</c:v>
                </c:pt>
                <c:pt idx="5">
                  <c:v>7.6375625618607E-3</c:v>
                </c:pt>
                <c:pt idx="6">
                  <c:v>8.4218442209930029E-3</c:v>
                </c:pt>
                <c:pt idx="7">
                  <c:v>9.2866617468850641E-3</c:v>
                </c:pt>
                <c:pt idx="8">
                  <c:v>1.0240285160592735E-2</c:v>
                </c:pt>
                <c:pt idx="9">
                  <c:v>1.1291833710367349E-2</c:v>
                </c:pt>
                <c:pt idx="10">
                  <c:v>1.2451363076612636E-2</c:v>
                </c:pt>
                <c:pt idx="11">
                  <c:v>1.3729961531694264E-2</c:v>
                </c:pt>
                <c:pt idx="12">
                  <c:v>1.5139855974153207E-2</c:v>
                </c:pt>
                <c:pt idx="13">
                  <c:v>1.6694528851299528E-2</c:v>
                </c:pt>
                <c:pt idx="14">
                  <c:v>1.8408847088286835E-2</c:v>
                </c:pt>
                <c:pt idx="15">
                  <c:v>2.0299204256581778E-2</c:v>
                </c:pt>
                <c:pt idx="16">
                  <c:v>2.2383677341348083E-2</c:v>
                </c:pt>
                <c:pt idx="17">
                  <c:v>2.4682199606870153E-2</c:v>
                </c:pt>
                <c:pt idx="18">
                  <c:v>2.7216751213082434E-2</c:v>
                </c:pt>
                <c:pt idx="19">
                  <c:v>3.0011569406020028E-2</c:v>
                </c:pt>
                <c:pt idx="20">
                  <c:v>3.3093380292186218E-2</c:v>
                </c:pt>
                <c:pt idx="21">
                  <c:v>3.6491654413233675E-2</c:v>
                </c:pt>
                <c:pt idx="22">
                  <c:v>4.0238888564952502E-2</c:v>
                </c:pt>
                <c:pt idx="23">
                  <c:v>4.4370916555525497E-2</c:v>
                </c:pt>
                <c:pt idx="24">
                  <c:v>4.8927251874749438E-2</c:v>
                </c:pt>
                <c:pt idx="25">
                  <c:v>5.3951465551077611E-2</c:v>
                </c:pt>
                <c:pt idx="26">
                  <c:v>5.9491602809830221E-2</c:v>
                </c:pt>
                <c:pt idx="27">
                  <c:v>6.5600642516965055E-2</c:v>
                </c:pt>
                <c:pt idx="28">
                  <c:v>7.2337003801947589E-2</c:v>
                </c:pt>
                <c:pt idx="29">
                  <c:v>7.9765104704420942E-2</c:v>
                </c:pt>
                <c:pt idx="30">
                  <c:v>8.795597818686407E-2</c:v>
                </c:pt>
                <c:pt idx="31">
                  <c:v>9.6987951404009454E-2</c:v>
                </c:pt>
                <c:pt idx="32">
                  <c:v>0.10694739472468692</c:v>
                </c:pt>
                <c:pt idx="33">
                  <c:v>0.11792954766879588</c:v>
                </c:pt>
                <c:pt idx="34">
                  <c:v>0.13003942965762144</c:v>
                </c:pt>
                <c:pt idx="35">
                  <c:v>0.14339284428675819</c:v>
                </c:pt>
                <c:pt idx="36">
                  <c:v>0.15811748672523795</c:v>
                </c:pt>
                <c:pt idx="37">
                  <c:v>0.17435416483062657</c:v>
                </c:pt>
                <c:pt idx="38">
                  <c:v>0.19225814565728927</c:v>
                </c:pt>
                <c:pt idx="39">
                  <c:v>0.21200064023412765</c:v>
                </c:pt>
                <c:pt idx="40">
                  <c:v>0.23377044081032422</c:v>
                </c:pt>
                <c:pt idx="41">
                  <c:v>0.25777572622564182</c:v>
                </c:pt>
                <c:pt idx="42">
                  <c:v>0.28424605266955744</c:v>
                </c:pt>
                <c:pt idx="43">
                  <c:v>0.3134345488663306</c:v>
                </c:pt>
                <c:pt idx="44">
                  <c:v>0.34562033667798325</c:v>
                </c:pt>
                <c:pt idx="45">
                  <c:v>0.38111120027277329</c:v>
                </c:pt>
                <c:pt idx="46">
                  <c:v>0.42024652938371615</c:v>
                </c:pt>
                <c:pt idx="47">
                  <c:v>0.46340056480275388</c:v>
                </c:pt>
                <c:pt idx="48">
                  <c:v>0.51098597714637572</c:v>
                </c:pt>
                <c:pt idx="49">
                  <c:v>0.56345781311547649</c:v>
                </c:pt>
                <c:pt idx="50">
                  <c:v>0.62131784698648962</c:v>
                </c:pt>
              </c:numCache>
            </c:numRef>
          </c:xVal>
          <c:yVal>
            <c:numRef>
              <c:f>Cyanid!$J$63:$J$113</c:f>
              <c:numCache>
                <c:formatCode>General</c:formatCode>
                <c:ptCount val="51"/>
                <c:pt idx="0">
                  <c:v>6.493041801809502E-4</c:v>
                </c:pt>
                <c:pt idx="1">
                  <c:v>1.5689328917261132E-3</c:v>
                </c:pt>
                <c:pt idx="2">
                  <c:v>3.6424093952503078E-3</c:v>
                </c:pt>
                <c:pt idx="3">
                  <c:v>8.1245883914967832E-3</c:v>
                </c:pt>
                <c:pt idx="4">
                  <c:v>1.7411741028231429E-2</c:v>
                </c:pt>
                <c:pt idx="5">
                  <c:v>3.5851823604437727E-2</c:v>
                </c:pt>
                <c:pt idx="6">
                  <c:v>7.0926499062642839E-2</c:v>
                </c:pt>
                <c:pt idx="7">
                  <c:v>0.13481369649112332</c:v>
                </c:pt>
                <c:pt idx="8">
                  <c:v>0.24619981991976003</c:v>
                </c:pt>
                <c:pt idx="9">
                  <c:v>0.43198599351028932</c:v>
                </c:pt>
                <c:pt idx="10">
                  <c:v>0.72824887298041341</c:v>
                </c:pt>
                <c:pt idx="11">
                  <c:v>1.1795550041930745</c:v>
                </c:pt>
                <c:pt idx="12">
                  <c:v>1.8356285102099152</c:v>
                </c:pt>
                <c:pt idx="13">
                  <c:v>2.7446034948729316</c:v>
                </c:pt>
                <c:pt idx="14">
                  <c:v>3.9427809578364141</c:v>
                </c:pt>
                <c:pt idx="15">
                  <c:v>5.44194200932054</c:v>
                </c:pt>
                <c:pt idx="16">
                  <c:v>7.2166125517388373</c:v>
                </c:pt>
                <c:pt idx="17">
                  <c:v>9.1947746523361236</c:v>
                </c:pt>
                <c:pt idx="18">
                  <c:v>11.25581667829162</c:v>
                </c:pt>
                <c:pt idx="19">
                  <c:v>13.238572349138494</c:v>
                </c:pt>
                <c:pt idx="20">
                  <c:v>14.960066220751814</c:v>
                </c:pt>
                <c:pt idx="21">
                  <c:v>16.242545775688015</c:v>
                </c:pt>
                <c:pt idx="22">
                  <c:v>16.943491283573909</c:v>
                </c:pt>
                <c:pt idx="23">
                  <c:v>16.981651675789539</c:v>
                </c:pt>
                <c:pt idx="24">
                  <c:v>16.352538266751875</c:v>
                </c:pt>
                <c:pt idx="25">
                  <c:v>15.129293235864996</c:v>
                </c:pt>
                <c:pt idx="26">
                  <c:v>13.448700670015299</c:v>
                </c:pt>
                <c:pt idx="27">
                  <c:v>11.486037644930018</c:v>
                </c:pt>
                <c:pt idx="28">
                  <c:v>9.4251520221607255</c:v>
                </c:pt>
                <c:pt idx="29">
                  <c:v>7.430785296827672</c:v>
                </c:pt>
                <c:pt idx="30">
                  <c:v>5.6287153056022996</c:v>
                </c:pt>
                <c:pt idx="31">
                  <c:v>4.0964916480992768</c:v>
                </c:pt>
                <c:pt idx="32">
                  <c:v>2.8644621313286454</c:v>
                </c:pt>
                <c:pt idx="33">
                  <c:v>1.9244308809402555</c:v>
                </c:pt>
                <c:pt idx="34">
                  <c:v>1.2421949810218551</c:v>
                </c:pt>
                <c:pt idx="35">
                  <c:v>0.77038078817067968</c:v>
                </c:pt>
                <c:pt idx="36">
                  <c:v>0.45903873922271782</c:v>
                </c:pt>
                <c:pt idx="37">
                  <c:v>0.26279763534781925</c:v>
                </c:pt>
                <c:pt idx="38">
                  <c:v>0.14455122913837995</c:v>
                </c:pt>
                <c:pt idx="39">
                  <c:v>7.6392433599268214E-2</c:v>
                </c:pt>
                <c:pt idx="40">
                  <c:v>3.8788869525938484E-2</c:v>
                </c:pt>
                <c:pt idx="41">
                  <c:v>1.8923092858076297E-2</c:v>
                </c:pt>
                <c:pt idx="42">
                  <c:v>8.869626644897443E-3</c:v>
                </c:pt>
                <c:pt idx="43">
                  <c:v>3.9943560870635336E-3</c:v>
                </c:pt>
                <c:pt idx="44">
                  <c:v>1.7282892898819735E-3</c:v>
                </c:pt>
                <c:pt idx="45">
                  <c:v>7.1847939798067885E-4</c:v>
                </c:pt>
                <c:pt idx="46">
                  <c:v>2.8697259242796316E-4</c:v>
                </c:pt>
                <c:pt idx="47">
                  <c:v>1.1012723700878734E-4</c:v>
                </c:pt>
                <c:pt idx="48">
                  <c:v>4.0604791642196396E-5</c:v>
                </c:pt>
                <c:pt idx="49">
                  <c:v>1.4384277407257882E-5</c:v>
                </c:pt>
                <c:pt idx="50">
                  <c:v>4.8958379506254767E-6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C4-48F0-86E0-E2DD9975BAE1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Cyanid!$T$46:$T$97</c:f>
              <c:numCache>
                <c:formatCode>0.0</c:formatCode>
                <c:ptCount val="52"/>
                <c:pt idx="0">
                  <c:v>-5.8800000000000006E-5</c:v>
                </c:pt>
                <c:pt idx="1">
                  <c:v>5.8800000000000006E-5</c:v>
                </c:pt>
                <c:pt idx="2">
                  <c:v>5.8212000000000003E-3</c:v>
                </c:pt>
                <c:pt idx="3">
                  <c:v>5.938800000000001E-3</c:v>
                </c:pt>
                <c:pt idx="4">
                  <c:v>1.1701200000000002E-2</c:v>
                </c:pt>
                <c:pt idx="5">
                  <c:v>1.1818800000000001E-2</c:v>
                </c:pt>
                <c:pt idx="6">
                  <c:v>1.7581200000000002E-2</c:v>
                </c:pt>
                <c:pt idx="7">
                  <c:v>1.7698800000000004E-2</c:v>
                </c:pt>
                <c:pt idx="8">
                  <c:v>2.3461200000000001E-2</c:v>
                </c:pt>
                <c:pt idx="9">
                  <c:v>2.3578800000000004E-2</c:v>
                </c:pt>
                <c:pt idx="10">
                  <c:v>2.9341200000000001E-2</c:v>
                </c:pt>
                <c:pt idx="11">
                  <c:v>2.9458800000000004E-2</c:v>
                </c:pt>
                <c:pt idx="12">
                  <c:v>3.5221200000000008E-2</c:v>
                </c:pt>
                <c:pt idx="13">
                  <c:v>3.5338800000000004E-2</c:v>
                </c:pt>
                <c:pt idx="14">
                  <c:v>4.1101200000000004E-2</c:v>
                </c:pt>
                <c:pt idx="15">
                  <c:v>4.12188E-2</c:v>
                </c:pt>
                <c:pt idx="16">
                  <c:v>4.6981200000000008E-2</c:v>
                </c:pt>
                <c:pt idx="17">
                  <c:v>4.7098800000000003E-2</c:v>
                </c:pt>
                <c:pt idx="18">
                  <c:v>5.2861200000000011E-2</c:v>
                </c:pt>
                <c:pt idx="19">
                  <c:v>5.2978800000000006E-2</c:v>
                </c:pt>
                <c:pt idx="20">
                  <c:v>5.8741200000000007E-2</c:v>
                </c:pt>
                <c:pt idx="21">
                  <c:v>5.8858800000000003E-2</c:v>
                </c:pt>
                <c:pt idx="22">
                  <c:v>6.4621200000000004E-2</c:v>
                </c:pt>
                <c:pt idx="23">
                  <c:v>6.4738799999999999E-2</c:v>
                </c:pt>
                <c:pt idx="24">
                  <c:v>7.0501200000000014E-2</c:v>
                </c:pt>
                <c:pt idx="25">
                  <c:v>7.0618800000000009E-2</c:v>
                </c:pt>
                <c:pt idx="26">
                  <c:v>7.638120000000001E-2</c:v>
                </c:pt>
                <c:pt idx="27">
                  <c:v>7.6498800000000006E-2</c:v>
                </c:pt>
                <c:pt idx="28">
                  <c:v>8.2261200000000007E-2</c:v>
                </c:pt>
                <c:pt idx="29">
                  <c:v>8.2378800000000002E-2</c:v>
                </c:pt>
                <c:pt idx="30">
                  <c:v>8.8141200000000017E-2</c:v>
                </c:pt>
                <c:pt idx="31">
                  <c:v>8.8258800000000012E-2</c:v>
                </c:pt>
                <c:pt idx="32">
                  <c:v>9.4021200000000013E-2</c:v>
                </c:pt>
                <c:pt idx="33">
                  <c:v>9.4138800000000009E-2</c:v>
                </c:pt>
                <c:pt idx="34">
                  <c:v>9.9901200000000009E-2</c:v>
                </c:pt>
                <c:pt idx="35">
                  <c:v>0.1000188</c:v>
                </c:pt>
                <c:pt idx="36">
                  <c:v>0.10578120000000002</c:v>
                </c:pt>
                <c:pt idx="37">
                  <c:v>0.10589880000000002</c:v>
                </c:pt>
                <c:pt idx="38">
                  <c:v>0.11166120000000002</c:v>
                </c:pt>
                <c:pt idx="39">
                  <c:v>0.11177880000000001</c:v>
                </c:pt>
                <c:pt idx="40">
                  <c:v>0.11754120000000001</c:v>
                </c:pt>
                <c:pt idx="41">
                  <c:v>0.11765880000000001</c:v>
                </c:pt>
                <c:pt idx="42">
                  <c:v>0.12342120000000002</c:v>
                </c:pt>
                <c:pt idx="43">
                  <c:v>0.12353880000000002</c:v>
                </c:pt>
                <c:pt idx="44">
                  <c:v>0.12930120000000001</c:v>
                </c:pt>
                <c:pt idx="45">
                  <c:v>0.1294188</c:v>
                </c:pt>
                <c:pt idx="46">
                  <c:v>0.13518120000000003</c:v>
                </c:pt>
                <c:pt idx="47">
                  <c:v>0.13529880000000002</c:v>
                </c:pt>
                <c:pt idx="48">
                  <c:v>0.14106120000000003</c:v>
                </c:pt>
                <c:pt idx="49">
                  <c:v>0.14117880000000002</c:v>
                </c:pt>
                <c:pt idx="50">
                  <c:v>0.14694120000000002</c:v>
                </c:pt>
                <c:pt idx="51">
                  <c:v>0.14705880000000002</c:v>
                </c:pt>
              </c:numCache>
            </c:numRef>
          </c:xVal>
          <c:yVal>
            <c:numRef>
              <c:f>Cyanid!$U$46:$U$97</c:f>
              <c:numCache>
                <c:formatCode>0.0000</c:formatCode>
                <c:ptCount val="52"/>
                <c:pt idx="0">
                  <c:v>0</c:v>
                </c:pt>
                <c:pt idx="1">
                  <c:v>42.517006802721085</c:v>
                </c:pt>
                <c:pt idx="2">
                  <c:v>42.517006802721085</c:v>
                </c:pt>
                <c:pt idx="3">
                  <c:v>42.517006802721085</c:v>
                </c:pt>
                <c:pt idx="4">
                  <c:v>42.517006802721085</c:v>
                </c:pt>
                <c:pt idx="5">
                  <c:v>0</c:v>
                </c:pt>
                <c:pt idx="6">
                  <c:v>0</c:v>
                </c:pt>
                <c:pt idx="7">
                  <c:v>4.7241118669690092</c:v>
                </c:pt>
                <c:pt idx="8">
                  <c:v>4.7241118669690092</c:v>
                </c:pt>
                <c:pt idx="9">
                  <c:v>9.4482237339380184</c:v>
                </c:pt>
                <c:pt idx="10">
                  <c:v>9.4482237339380184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4.7241118669690092</c:v>
                </c:pt>
                <c:pt idx="16">
                  <c:v>4.7241118669690092</c:v>
                </c:pt>
                <c:pt idx="17">
                  <c:v>0</c:v>
                </c:pt>
                <c:pt idx="18">
                  <c:v>0</c:v>
                </c:pt>
                <c:pt idx="19">
                  <c:v>61.413454270597121</c:v>
                </c:pt>
                <c:pt idx="20">
                  <c:v>61.413454270597121</c:v>
                </c:pt>
                <c:pt idx="21">
                  <c:v>0</c:v>
                </c:pt>
                <c:pt idx="22">
                  <c:v>0</c:v>
                </c:pt>
                <c:pt idx="23">
                  <c:v>9.4482237339380184</c:v>
                </c:pt>
                <c:pt idx="24">
                  <c:v>9.4482237339380184</c:v>
                </c:pt>
                <c:pt idx="25">
                  <c:v>14.172335600907028</c:v>
                </c:pt>
                <c:pt idx="26">
                  <c:v>14.172335600907028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4.7241118669690092</c:v>
                </c:pt>
                <c:pt idx="34">
                  <c:v>4.7241118669690092</c:v>
                </c:pt>
                <c:pt idx="35">
                  <c:v>0</c:v>
                </c:pt>
                <c:pt idx="36">
                  <c:v>0</c:v>
                </c:pt>
                <c:pt idx="37">
                  <c:v>9.4482237339380184</c:v>
                </c:pt>
                <c:pt idx="38">
                  <c:v>9.4482237339380184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4.7241118669690092</c:v>
                </c:pt>
                <c:pt idx="44">
                  <c:v>4.7241118669690092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4.7241118669690092</c:v>
                </c:pt>
                <c:pt idx="50">
                  <c:v>4.7241118669690092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C4-48F0-86E0-E2DD9975BAE1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Cyanid!$U$3:$V$3</c:f>
              <c:numCache>
                <c:formatCode>0.000</c:formatCode>
                <c:ptCount val="2"/>
                <c:pt idx="0">
                  <c:v>0.11565149540265215</c:v>
                </c:pt>
                <c:pt idx="1">
                  <c:v>0.11565149540265215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C4-48F0-86E0-E2DD9975BAE1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Cyanid!$U$4:$V$4</c:f>
              <c:numCache>
                <c:formatCode>0.000</c:formatCode>
                <c:ptCount val="2"/>
                <c:pt idx="0">
                  <c:v>0.12054337826757826</c:v>
                </c:pt>
                <c:pt idx="1">
                  <c:v>0.12054337826757826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C4-48F0-86E0-E2DD9975BAE1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Cyanid!$U$5:$V$5</c:f>
              <c:numCache>
                <c:formatCode>0.000</c:formatCode>
                <c:ptCount val="2"/>
                <c:pt idx="0">
                  <c:v>0.12884827617421957</c:v>
                </c:pt>
                <c:pt idx="1">
                  <c:v>0.12884827617421957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C4-48F0-86E0-E2DD9975BAE1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Cyanid!$U$6:$V$6</c:f>
              <c:numCache>
                <c:formatCode>0.000</c:formatCode>
                <c:ptCount val="2"/>
                <c:pt idx="0">
                  <c:v>0.14720966922666462</c:v>
                </c:pt>
                <c:pt idx="1">
                  <c:v>0.14720966922666462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C4-48F0-86E0-E2DD9975BAE1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Cyanid!$U$7:$V$7</c:f>
              <c:numCache>
                <c:formatCode>0.000</c:formatCode>
                <c:ptCount val="2"/>
                <c:pt idx="0">
                  <c:v>-2.5540384291541027E-2</c:v>
                </c:pt>
                <c:pt idx="1">
                  <c:v>-2.5540384291541027E-2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C4-48F0-86E0-E2DD9975BAE1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Cyanid!$U$8:$V$8</c:f>
              <c:numCache>
                <c:formatCode>0.000</c:formatCode>
                <c:ptCount val="2"/>
                <c:pt idx="0">
                  <c:v>-3.8776059268682008</c:v>
                </c:pt>
                <c:pt idx="1">
                  <c:v>-3.8776059268682008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C4-48F0-86E0-E2DD9975BAE1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Cyanid!$U$11:$V$11</c:f>
              <c:numCache>
                <c:formatCode>0.000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xVal>
          <c:yVal>
            <c:numRef>
              <c:f>Cyanid!$U$2:$V$2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FC4-48F0-86E0-E2DD9975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48000"/>
        <c:axId val="154049536"/>
      </c:scatterChart>
      <c:valAx>
        <c:axId val="154048000"/>
        <c:scaling>
          <c:orientation val="minMax"/>
          <c:max val="0.2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049536"/>
        <c:crosses val="autoZero"/>
        <c:crossBetween val="midCat"/>
        <c:majorUnit val="5.000000000000001E-2"/>
        <c:minorUnit val="1.0000000000000002E-2"/>
      </c:valAx>
      <c:valAx>
        <c:axId val="154049536"/>
        <c:scaling>
          <c:orientation val="minMax"/>
          <c:max val="15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048000"/>
        <c:crosses val="autoZero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eLF!$F$63:$F$113</c:f>
              <c:numCache>
                <c:formatCode>General</c:formatCode>
                <c:ptCount val="51"/>
                <c:pt idx="0">
                  <c:v>36.873435079987573</c:v>
                </c:pt>
                <c:pt idx="1">
                  <c:v>38.920149850701115</c:v>
                </c:pt>
                <c:pt idx="2">
                  <c:v>40.966864621414658</c:v>
                </c:pt>
                <c:pt idx="3">
                  <c:v>43.013579392128193</c:v>
                </c:pt>
                <c:pt idx="4">
                  <c:v>45.060294162841735</c:v>
                </c:pt>
                <c:pt idx="5">
                  <c:v>47.107008933555278</c:v>
                </c:pt>
                <c:pt idx="6">
                  <c:v>49.15372370426882</c:v>
                </c:pt>
                <c:pt idx="7">
                  <c:v>51.200438474982356</c:v>
                </c:pt>
                <c:pt idx="8">
                  <c:v>53.247153245695898</c:v>
                </c:pt>
                <c:pt idx="9">
                  <c:v>55.293868016409441</c:v>
                </c:pt>
                <c:pt idx="10">
                  <c:v>57.340582787122983</c:v>
                </c:pt>
                <c:pt idx="11">
                  <c:v>59.387297557836519</c:v>
                </c:pt>
                <c:pt idx="12">
                  <c:v>61.434012328550061</c:v>
                </c:pt>
                <c:pt idx="13">
                  <c:v>63.480727099263603</c:v>
                </c:pt>
                <c:pt idx="14">
                  <c:v>65.527441869977139</c:v>
                </c:pt>
                <c:pt idx="15">
                  <c:v>67.574156640690688</c:v>
                </c:pt>
                <c:pt idx="16">
                  <c:v>69.620871411404224</c:v>
                </c:pt>
                <c:pt idx="17">
                  <c:v>71.667586182117759</c:v>
                </c:pt>
                <c:pt idx="18">
                  <c:v>73.714300952831309</c:v>
                </c:pt>
                <c:pt idx="19">
                  <c:v>75.761015723544844</c:v>
                </c:pt>
                <c:pt idx="20">
                  <c:v>77.807730494258379</c:v>
                </c:pt>
                <c:pt idx="21">
                  <c:v>79.854445264971929</c:v>
                </c:pt>
                <c:pt idx="22">
                  <c:v>81.901160035685464</c:v>
                </c:pt>
                <c:pt idx="23">
                  <c:v>83.947874806399</c:v>
                </c:pt>
                <c:pt idx="24">
                  <c:v>85.994589577112549</c:v>
                </c:pt>
                <c:pt idx="25">
                  <c:v>88.041304347826085</c:v>
                </c:pt>
                <c:pt idx="26">
                  <c:v>90.08801911853962</c:v>
                </c:pt>
                <c:pt idx="27">
                  <c:v>92.13473388925317</c:v>
                </c:pt>
                <c:pt idx="28">
                  <c:v>94.181448659966705</c:v>
                </c:pt>
                <c:pt idx="29">
                  <c:v>96.228163430680354</c:v>
                </c:pt>
                <c:pt idx="30">
                  <c:v>98.274878201393889</c:v>
                </c:pt>
                <c:pt idx="31">
                  <c:v>100.32159297210742</c:v>
                </c:pt>
                <c:pt idx="32">
                  <c:v>102.36830774282097</c:v>
                </c:pt>
                <c:pt idx="33">
                  <c:v>104.41502251353451</c:v>
                </c:pt>
                <c:pt idx="34">
                  <c:v>106.46173728424804</c:v>
                </c:pt>
                <c:pt idx="35">
                  <c:v>108.50845205496159</c:v>
                </c:pt>
                <c:pt idx="36">
                  <c:v>110.55516682567513</c:v>
                </c:pt>
                <c:pt idx="37">
                  <c:v>112.60188159638867</c:v>
                </c:pt>
                <c:pt idx="38">
                  <c:v>114.64859636710221</c:v>
                </c:pt>
                <c:pt idx="39">
                  <c:v>116.69531113781575</c:v>
                </c:pt>
                <c:pt idx="40">
                  <c:v>118.74202590852929</c:v>
                </c:pt>
                <c:pt idx="41">
                  <c:v>120.78874067924284</c:v>
                </c:pt>
                <c:pt idx="42">
                  <c:v>122.83545544995637</c:v>
                </c:pt>
                <c:pt idx="43">
                  <c:v>124.88217022066991</c:v>
                </c:pt>
                <c:pt idx="44">
                  <c:v>126.92888499138346</c:v>
                </c:pt>
                <c:pt idx="45">
                  <c:v>128.97559976209698</c:v>
                </c:pt>
                <c:pt idx="46">
                  <c:v>131.02231453281053</c:v>
                </c:pt>
                <c:pt idx="47">
                  <c:v>133.06902930352408</c:v>
                </c:pt>
                <c:pt idx="48">
                  <c:v>135.11574407423763</c:v>
                </c:pt>
                <c:pt idx="49">
                  <c:v>137.16245884495115</c:v>
                </c:pt>
                <c:pt idx="50">
                  <c:v>139.20917361566461</c:v>
                </c:pt>
              </c:numCache>
            </c:numRef>
          </c:xVal>
          <c:yVal>
            <c:numRef>
              <c:f>eLF!$G$63:$G$113</c:f>
              <c:numCache>
                <c:formatCode>General</c:formatCode>
                <c:ptCount val="51"/>
                <c:pt idx="0">
                  <c:v>1.4527862269894961E-7</c:v>
                </c:pt>
                <c:pt idx="1">
                  <c:v>3.8708853306912512E-7</c:v>
                </c:pt>
                <c:pt idx="2">
                  <c:v>9.9093945190529735E-7</c:v>
                </c:pt>
                <c:pt idx="3">
                  <c:v>2.4373177588744241E-6</c:v>
                </c:pt>
                <c:pt idx="4">
                  <c:v>5.7597735258431441E-6</c:v>
                </c:pt>
                <c:pt idx="5">
                  <c:v>1.3077564854650316E-5</c:v>
                </c:pt>
                <c:pt idx="6">
                  <c:v>2.8528345030673681E-5</c:v>
                </c:pt>
                <c:pt idx="7">
                  <c:v>5.9793571519537752E-5</c:v>
                </c:pt>
                <c:pt idx="8">
                  <c:v>1.2040946653679886E-4</c:v>
                </c:pt>
                <c:pt idx="9">
                  <c:v>2.3296731284483637E-4</c:v>
                </c:pt>
                <c:pt idx="10">
                  <c:v>4.3306947068085633E-4</c:v>
                </c:pt>
                <c:pt idx="11">
                  <c:v>7.7347871782059948E-4</c:v>
                </c:pt>
                <c:pt idx="12">
                  <c:v>1.3272947875340951E-3</c:v>
                </c:pt>
                <c:pt idx="13">
                  <c:v>2.1883391486968709E-3</c:v>
                </c:pt>
                <c:pt idx="14">
                  <c:v>3.4664911157956824E-3</c:v>
                </c:pt>
                <c:pt idx="15">
                  <c:v>5.2758662111345792E-3</c:v>
                </c:pt>
                <c:pt idx="16">
                  <c:v>7.7148178564588176E-3</c:v>
                </c:pt>
                <c:pt idx="17">
                  <c:v>1.0838914759068799E-2</c:v>
                </c:pt>
                <c:pt idx="18">
                  <c:v>1.4631004552094568E-2</c:v>
                </c:pt>
                <c:pt idx="19">
                  <c:v>1.8975390001755296E-2</c:v>
                </c:pt>
                <c:pt idx="20">
                  <c:v>2.3644791935007702E-2</c:v>
                </c:pt>
                <c:pt idx="21">
                  <c:v>2.8307955451993782E-2</c:v>
                </c:pt>
                <c:pt idx="22">
                  <c:v>3.2561899455646033E-2</c:v>
                </c:pt>
                <c:pt idx="23">
                  <c:v>3.5986464315683253E-2</c:v>
                </c:pt>
                <c:pt idx="24">
                  <c:v>3.8211742991342938E-2</c:v>
                </c:pt>
                <c:pt idx="25">
                  <c:v>3.8983671404526049E-2</c:v>
                </c:pt>
                <c:pt idx="26">
                  <c:v>3.8211742991342938E-2</c:v>
                </c:pt>
                <c:pt idx="27">
                  <c:v>3.5986464315683253E-2</c:v>
                </c:pt>
                <c:pt idx="28">
                  <c:v>3.2561899455646033E-2</c:v>
                </c:pt>
                <c:pt idx="29">
                  <c:v>2.8307955451993532E-2</c:v>
                </c:pt>
                <c:pt idx="30">
                  <c:v>2.3644791935007473E-2</c:v>
                </c:pt>
                <c:pt idx="31">
                  <c:v>1.8975390001755077E-2</c:v>
                </c:pt>
                <c:pt idx="32">
                  <c:v>1.463100455209434E-2</c:v>
                </c:pt>
                <c:pt idx="33">
                  <c:v>1.0838914759068629E-2</c:v>
                </c:pt>
                <c:pt idx="34">
                  <c:v>7.7148178564586823E-3</c:v>
                </c:pt>
                <c:pt idx="35">
                  <c:v>5.2758662111344647E-3</c:v>
                </c:pt>
                <c:pt idx="36">
                  <c:v>3.4664911157956083E-3</c:v>
                </c:pt>
                <c:pt idx="37">
                  <c:v>2.1883391486968223E-3</c:v>
                </c:pt>
                <c:pt idx="38">
                  <c:v>1.3272947875340598E-3</c:v>
                </c:pt>
                <c:pt idx="39">
                  <c:v>7.7347871782057855E-4</c:v>
                </c:pt>
                <c:pt idx="40">
                  <c:v>4.3306947068084322E-4</c:v>
                </c:pt>
                <c:pt idx="41">
                  <c:v>2.3296731284482851E-4</c:v>
                </c:pt>
                <c:pt idx="42">
                  <c:v>1.2040946653679477E-4</c:v>
                </c:pt>
                <c:pt idx="43">
                  <c:v>5.9793571519535732E-5</c:v>
                </c:pt>
                <c:pt idx="44">
                  <c:v>2.8528345030672593E-5</c:v>
                </c:pt>
                <c:pt idx="45">
                  <c:v>1.3077564854649898E-5</c:v>
                </c:pt>
                <c:pt idx="46">
                  <c:v>5.7597735258429298E-6</c:v>
                </c:pt>
                <c:pt idx="47">
                  <c:v>2.4373177588743199E-6</c:v>
                </c:pt>
                <c:pt idx="48">
                  <c:v>9.9093945190524462E-7</c:v>
                </c:pt>
                <c:pt idx="49">
                  <c:v>3.8708853306910723E-7</c:v>
                </c:pt>
                <c:pt idx="50">
                  <c:v>1.4527862269894831E-7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AF-44D8-95ED-39604F2682AD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eLF!$I$63:$I$113</c:f>
              <c:numCache>
                <c:formatCode>General</c:formatCode>
                <c:ptCount val="51"/>
                <c:pt idx="0">
                  <c:v>48.70698526331973</c:v>
                </c:pt>
                <c:pt idx="1">
                  <c:v>49.860807959770554</c:v>
                </c:pt>
                <c:pt idx="2">
                  <c:v>51.041963631310026</c:v>
                </c:pt>
                <c:pt idx="3">
                  <c:v>52.251099770425064</c:v>
                </c:pt>
                <c:pt idx="4">
                  <c:v>53.488879208090964</c:v>
                </c:pt>
                <c:pt idx="5">
                  <c:v>54.755980477125796</c:v>
                </c:pt>
                <c:pt idx="6">
                  <c:v>56.053098184152205</c:v>
                </c:pt>
                <c:pt idx="7">
                  <c:v>57.380943390370859</c:v>
                </c:pt>
                <c:pt idx="8">
                  <c:v>58.740244001353851</c:v>
                </c:pt>
                <c:pt idx="9">
                  <c:v>60.131745166072058</c:v>
                </c:pt>
                <c:pt idx="10">
                  <c:v>61.556209685375023</c:v>
                </c:pt>
                <c:pt idx="11">
                  <c:v>63.014418430147401</c:v>
                </c:pt>
                <c:pt idx="12">
                  <c:v>64.507170769371072</c:v>
                </c:pt>
                <c:pt idx="13">
                  <c:v>66.035285008327705</c:v>
                </c:pt>
                <c:pt idx="14">
                  <c:v>67.599598837181887</c:v>
                </c:pt>
                <c:pt idx="15">
                  <c:v>69.200969790190769</c:v>
                </c:pt>
                <c:pt idx="16">
                  <c:v>70.840275715791961</c:v>
                </c:pt>
                <c:pt idx="17">
                  <c:v>72.518415257827428</c:v>
                </c:pt>
                <c:pt idx="18">
                  <c:v>74.236308348167043</c:v>
                </c:pt>
                <c:pt idx="19">
                  <c:v>75.994896711001786</c:v>
                </c:pt>
                <c:pt idx="20">
                  <c:v>77.795144379083681</c:v>
                </c:pt>
                <c:pt idx="21">
                  <c:v>79.638038222194396</c:v>
                </c:pt>
                <c:pt idx="22">
                  <c:v>81.524588488133062</c:v>
                </c:pt>
                <c:pt idx="23">
                  <c:v>83.455829356519558</c:v>
                </c:pt>
                <c:pt idx="24">
                  <c:v>85.432819505716836</c:v>
                </c:pt>
                <c:pt idx="25">
                  <c:v>87.456642693183085</c:v>
                </c:pt>
                <c:pt idx="26">
                  <c:v>89.528408349571961</c:v>
                </c:pt>
                <c:pt idx="27">
                  <c:v>91.649252186906466</c:v>
                </c:pt>
                <c:pt idx="28">
                  <c:v>93.820336821159827</c:v>
                </c:pt>
                <c:pt idx="29">
                  <c:v>96.042852409585024</c:v>
                </c:pt>
                <c:pt idx="30">
                  <c:v>98.318017303141062</c:v>
                </c:pt>
                <c:pt idx="31">
                  <c:v>100.64707871437646</c:v>
                </c:pt>
                <c:pt idx="32">
                  <c:v>103.03131340113248</c:v>
                </c:pt>
                <c:pt idx="33">
                  <c:v>105.47202836644345</c:v>
                </c:pt>
                <c:pt idx="34">
                  <c:v>107.97056157501703</c:v>
                </c:pt>
                <c:pt idx="35">
                  <c:v>110.52828268668711</c:v>
                </c:pt>
                <c:pt idx="36">
                  <c:v>113.14659380724159</c:v>
                </c:pt>
                <c:pt idx="37">
                  <c:v>115.82693025703648</c:v>
                </c:pt>
                <c:pt idx="38">
                  <c:v>118.57076135781783</c:v>
                </c:pt>
                <c:pt idx="39">
                  <c:v>121.37959123818273</c:v>
                </c:pt>
                <c:pt idx="40">
                  <c:v>124.25495965812082</c:v>
                </c:pt>
                <c:pt idx="41">
                  <c:v>127.19844285308855</c:v>
                </c:pt>
                <c:pt idx="42">
                  <c:v>130.21165439807865</c:v>
                </c:pt>
                <c:pt idx="43">
                  <c:v>133.29624609215867</c:v>
                </c:pt>
                <c:pt idx="44">
                  <c:v>136.45390886396356</c:v>
                </c:pt>
                <c:pt idx="45">
                  <c:v>139.68637369863774</c:v>
                </c:pt>
                <c:pt idx="46">
                  <c:v>142.99541258673696</c:v>
                </c:pt>
                <c:pt idx="47">
                  <c:v>146.38283949560744</c:v>
                </c:pt>
                <c:pt idx="48">
                  <c:v>149.85051136377675</c:v>
                </c:pt>
                <c:pt idx="49">
                  <c:v>153.40032911890063</c:v>
                </c:pt>
                <c:pt idx="50">
                  <c:v>157.0342387198238</c:v>
                </c:pt>
              </c:numCache>
            </c:numRef>
          </c:xVal>
          <c:yVal>
            <c:numRef>
              <c:f>eLF!$J$63:$J$113</c:f>
              <c:numCache>
                <c:formatCode>General</c:formatCode>
                <c:ptCount val="51"/>
                <c:pt idx="0">
                  <c:v>2.6074375191426464E-7</c:v>
                </c:pt>
                <c:pt idx="1">
                  <c:v>6.7866341888059295E-7</c:v>
                </c:pt>
                <c:pt idx="2">
                  <c:v>1.6971615791514233E-6</c:v>
                </c:pt>
                <c:pt idx="3">
                  <c:v>4.0777459321545184E-6</c:v>
                </c:pt>
                <c:pt idx="4">
                  <c:v>9.4133749028843915E-6</c:v>
                </c:pt>
                <c:pt idx="5">
                  <c:v>2.0878474746595056E-5</c:v>
                </c:pt>
                <c:pt idx="6">
                  <c:v>4.4491843651707926E-5</c:v>
                </c:pt>
                <c:pt idx="7">
                  <c:v>9.1094101576804889E-5</c:v>
                </c:pt>
                <c:pt idx="8">
                  <c:v>1.7919600868295576E-4</c:v>
                </c:pt>
                <c:pt idx="9">
                  <c:v>3.3868395932093437E-4</c:v>
                </c:pt>
                <c:pt idx="10">
                  <c:v>6.1501986677829851E-4</c:v>
                </c:pt>
                <c:pt idx="11">
                  <c:v>1.0730300446289711E-3</c:v>
                </c:pt>
                <c:pt idx="12">
                  <c:v>1.7987170048579758E-3</c:v>
                </c:pt>
                <c:pt idx="13">
                  <c:v>2.8969568023631117E-3</c:v>
                </c:pt>
                <c:pt idx="14">
                  <c:v>4.4828005744872732E-3</c:v>
                </c:pt>
                <c:pt idx="15">
                  <c:v>6.6647680457355947E-3</c:v>
                </c:pt>
                <c:pt idx="16">
                  <c:v>9.5202615581411101E-3</c:v>
                </c:pt>
                <c:pt idx="17">
                  <c:v>1.3065948499645949E-2</c:v>
                </c:pt>
                <c:pt idx="18">
                  <c:v>1.7229045762720288E-2</c:v>
                </c:pt>
                <c:pt idx="19">
                  <c:v>2.1827788033756623E-2</c:v>
                </c:pt>
                <c:pt idx="20">
                  <c:v>2.6569687820037307E-2</c:v>
                </c:pt>
                <c:pt idx="21">
                  <c:v>3.1073587511809945E-2</c:v>
                </c:pt>
                <c:pt idx="22">
                  <c:v>3.4916006185745176E-2</c:v>
                </c:pt>
                <c:pt idx="23">
                  <c:v>3.7695190971109127E-2</c:v>
                </c:pt>
                <c:pt idx="24">
                  <c:v>3.9099891721053291E-2</c:v>
                </c:pt>
                <c:pt idx="25">
                  <c:v>3.8966677956504166E-2</c:v>
                </c:pt>
                <c:pt idx="26">
                  <c:v>3.7311218345967477E-2</c:v>
                </c:pt>
                <c:pt idx="27">
                  <c:v>3.4325249253869407E-2</c:v>
                </c:pt>
                <c:pt idx="28">
                  <c:v>3.0340042813617296E-2</c:v>
                </c:pt>
                <c:pt idx="29">
                  <c:v>2.5765993906686852E-2</c:v>
                </c:pt>
                <c:pt idx="30">
                  <c:v>2.102353929385958E-2</c:v>
                </c:pt>
                <c:pt idx="31">
                  <c:v>1.6481357613591631E-2</c:v>
                </c:pt>
                <c:pt idx="32">
                  <c:v>1.2413903225773095E-2</c:v>
                </c:pt>
                <c:pt idx="33">
                  <c:v>8.9836319042116766E-3</c:v>
                </c:pt>
                <c:pt idx="34">
                  <c:v>6.246313289725575E-3</c:v>
                </c:pt>
                <c:pt idx="35">
                  <c:v>4.172763757661479E-3</c:v>
                </c:pt>
                <c:pt idx="36">
                  <c:v>2.6782557945905063E-3</c:v>
                </c:pt>
                <c:pt idx="37">
                  <c:v>1.6516139008116095E-3</c:v>
                </c:pt>
                <c:pt idx="38">
                  <c:v>9.7857299446692421E-4</c:v>
                </c:pt>
                <c:pt idx="39">
                  <c:v>5.5706534789431766E-4</c:v>
                </c:pt>
                <c:pt idx="40">
                  <c:v>3.0468234011938049E-4</c:v>
                </c:pt>
                <c:pt idx="41">
                  <c:v>1.6010933056188531E-4</c:v>
                </c:pt>
                <c:pt idx="42">
                  <c:v>8.0837750835462786E-5</c:v>
                </c:pt>
                <c:pt idx="43">
                  <c:v>3.9213898658190938E-5</c:v>
                </c:pt>
                <c:pt idx="44">
                  <c:v>1.8276542616959881E-5</c:v>
                </c:pt>
                <c:pt idx="45">
                  <c:v>8.1842009735542522E-6</c:v>
                </c:pt>
                <c:pt idx="46">
                  <c:v>3.5211680152006185E-6</c:v>
                </c:pt>
                <c:pt idx="47">
                  <c:v>1.4555443129372639E-6</c:v>
                </c:pt>
                <c:pt idx="48">
                  <c:v>5.7808584576134574E-7</c:v>
                </c:pt>
                <c:pt idx="49">
                  <c:v>2.2059083309981896E-7</c:v>
                </c:pt>
                <c:pt idx="50">
                  <c:v>8.0874350622669629E-8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AF-44D8-95ED-39604F2682AD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eLF!$T$46:$T$97</c:f>
              <c:numCache>
                <c:formatCode>0.0</c:formatCode>
                <c:ptCount val="52"/>
                <c:pt idx="0">
                  <c:v>62.679719999999996</c:v>
                </c:pt>
                <c:pt idx="1">
                  <c:v>62.720279999999995</c:v>
                </c:pt>
                <c:pt idx="2">
                  <c:v>64.707719999999995</c:v>
                </c:pt>
                <c:pt idx="3">
                  <c:v>64.748279999999994</c:v>
                </c:pt>
                <c:pt idx="4">
                  <c:v>66.735720000000001</c:v>
                </c:pt>
                <c:pt idx="5">
                  <c:v>66.77628</c:v>
                </c:pt>
                <c:pt idx="6">
                  <c:v>68.763719999999992</c:v>
                </c:pt>
                <c:pt idx="7">
                  <c:v>68.804279999999991</c:v>
                </c:pt>
                <c:pt idx="8">
                  <c:v>70.791719999999998</c:v>
                </c:pt>
                <c:pt idx="9">
                  <c:v>70.832279999999997</c:v>
                </c:pt>
                <c:pt idx="10">
                  <c:v>72.819720000000004</c:v>
                </c:pt>
                <c:pt idx="11">
                  <c:v>72.860280000000003</c:v>
                </c:pt>
                <c:pt idx="12">
                  <c:v>74.847719999999995</c:v>
                </c:pt>
                <c:pt idx="13">
                  <c:v>74.888279999999995</c:v>
                </c:pt>
                <c:pt idx="14">
                  <c:v>76.875720000000001</c:v>
                </c:pt>
                <c:pt idx="15">
                  <c:v>76.91628</c:v>
                </c:pt>
                <c:pt idx="16">
                  <c:v>78.903720000000007</c:v>
                </c:pt>
                <c:pt idx="17">
                  <c:v>78.944280000000006</c:v>
                </c:pt>
                <c:pt idx="18">
                  <c:v>80.931719999999999</c:v>
                </c:pt>
                <c:pt idx="19">
                  <c:v>80.972279999999998</c:v>
                </c:pt>
                <c:pt idx="20">
                  <c:v>82.959720000000004</c:v>
                </c:pt>
                <c:pt idx="21">
                  <c:v>83.000280000000004</c:v>
                </c:pt>
                <c:pt idx="22">
                  <c:v>84.98772000000001</c:v>
                </c:pt>
                <c:pt idx="23">
                  <c:v>85.028280000000009</c:v>
                </c:pt>
                <c:pt idx="24">
                  <c:v>87.015720000000002</c:v>
                </c:pt>
                <c:pt idx="25">
                  <c:v>87.056280000000001</c:v>
                </c:pt>
                <c:pt idx="26">
                  <c:v>89.043719999999993</c:v>
                </c:pt>
                <c:pt idx="27">
                  <c:v>89.084279999999993</c:v>
                </c:pt>
                <c:pt idx="28">
                  <c:v>91.071719999999999</c:v>
                </c:pt>
                <c:pt idx="29">
                  <c:v>91.112279999999998</c:v>
                </c:pt>
                <c:pt idx="30">
                  <c:v>93.099720000000005</c:v>
                </c:pt>
                <c:pt idx="31">
                  <c:v>93.140280000000004</c:v>
                </c:pt>
                <c:pt idx="32">
                  <c:v>95.127719999999997</c:v>
                </c:pt>
                <c:pt idx="33">
                  <c:v>95.168279999999996</c:v>
                </c:pt>
                <c:pt idx="34">
                  <c:v>97.155720000000002</c:v>
                </c:pt>
                <c:pt idx="35">
                  <c:v>97.196280000000002</c:v>
                </c:pt>
                <c:pt idx="36">
                  <c:v>99.183720000000008</c:v>
                </c:pt>
                <c:pt idx="37">
                  <c:v>99.224280000000007</c:v>
                </c:pt>
                <c:pt idx="38">
                  <c:v>101.21172</c:v>
                </c:pt>
                <c:pt idx="39">
                  <c:v>101.25228</c:v>
                </c:pt>
                <c:pt idx="40">
                  <c:v>103.23972000000001</c:v>
                </c:pt>
                <c:pt idx="41">
                  <c:v>103.28028</c:v>
                </c:pt>
                <c:pt idx="42">
                  <c:v>105.26772000000001</c:v>
                </c:pt>
                <c:pt idx="43">
                  <c:v>105.30828000000001</c:v>
                </c:pt>
                <c:pt idx="44">
                  <c:v>107.29572</c:v>
                </c:pt>
                <c:pt idx="45">
                  <c:v>107.33628</c:v>
                </c:pt>
                <c:pt idx="46">
                  <c:v>109.32372000000001</c:v>
                </c:pt>
                <c:pt idx="47">
                  <c:v>109.36428000000001</c:v>
                </c:pt>
                <c:pt idx="48">
                  <c:v>111.35172000000001</c:v>
                </c:pt>
                <c:pt idx="49">
                  <c:v>111.39228000000001</c:v>
                </c:pt>
                <c:pt idx="50">
                  <c:v>113.37972000000001</c:v>
                </c:pt>
                <c:pt idx="51">
                  <c:v>113.42028000000001</c:v>
                </c:pt>
              </c:numCache>
            </c:numRef>
          </c:xVal>
          <c:yVal>
            <c:numRef>
              <c:f>eLF!$U$46:$U$97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1.0719492324843493E-2</c:v>
                </c:pt>
                <c:pt idx="6">
                  <c:v>1.0719492324843493E-2</c:v>
                </c:pt>
                <c:pt idx="7">
                  <c:v>0</c:v>
                </c:pt>
                <c:pt idx="8">
                  <c:v>0</c:v>
                </c:pt>
                <c:pt idx="9">
                  <c:v>1.0719492324843493E-2</c:v>
                </c:pt>
                <c:pt idx="10">
                  <c:v>1.0719492324843493E-2</c:v>
                </c:pt>
                <c:pt idx="11">
                  <c:v>0</c:v>
                </c:pt>
                <c:pt idx="12">
                  <c:v>0</c:v>
                </c:pt>
                <c:pt idx="13">
                  <c:v>1.0719492324843493E-2</c:v>
                </c:pt>
                <c:pt idx="14">
                  <c:v>1.0719492324843493E-2</c:v>
                </c:pt>
                <c:pt idx="15">
                  <c:v>3.2158476974530475E-2</c:v>
                </c:pt>
                <c:pt idx="16">
                  <c:v>3.2158476974530475E-2</c:v>
                </c:pt>
                <c:pt idx="17">
                  <c:v>2.1438984649686986E-2</c:v>
                </c:pt>
                <c:pt idx="18">
                  <c:v>2.1438984649686986E-2</c:v>
                </c:pt>
                <c:pt idx="19">
                  <c:v>0</c:v>
                </c:pt>
                <c:pt idx="20">
                  <c:v>0</c:v>
                </c:pt>
                <c:pt idx="21">
                  <c:v>9.647543092359144E-2</c:v>
                </c:pt>
                <c:pt idx="22">
                  <c:v>9.647543092359144E-2</c:v>
                </c:pt>
                <c:pt idx="23">
                  <c:v>4.2877969299373972E-2</c:v>
                </c:pt>
                <c:pt idx="24">
                  <c:v>4.2877969299373972E-2</c:v>
                </c:pt>
                <c:pt idx="25">
                  <c:v>3.2158476974530475E-2</c:v>
                </c:pt>
                <c:pt idx="26">
                  <c:v>3.2158476974530475E-2</c:v>
                </c:pt>
                <c:pt idx="27">
                  <c:v>3.2158476974530475E-2</c:v>
                </c:pt>
                <c:pt idx="28">
                  <c:v>3.2158476974530475E-2</c:v>
                </c:pt>
                <c:pt idx="29">
                  <c:v>1.0719492324843493E-2</c:v>
                </c:pt>
                <c:pt idx="30">
                  <c:v>1.0719492324843493E-2</c:v>
                </c:pt>
                <c:pt idx="31">
                  <c:v>2.1438984649686986E-2</c:v>
                </c:pt>
                <c:pt idx="32">
                  <c:v>2.1438984649686986E-2</c:v>
                </c:pt>
                <c:pt idx="33">
                  <c:v>4.2877969299373972E-2</c:v>
                </c:pt>
                <c:pt idx="34">
                  <c:v>4.2877969299373972E-2</c:v>
                </c:pt>
                <c:pt idx="35">
                  <c:v>1.0719492324843493E-2</c:v>
                </c:pt>
                <c:pt idx="36">
                  <c:v>1.0719492324843493E-2</c:v>
                </c:pt>
                <c:pt idx="37">
                  <c:v>3.2158476974530475E-2</c:v>
                </c:pt>
                <c:pt idx="38">
                  <c:v>3.2158476974530475E-2</c:v>
                </c:pt>
                <c:pt idx="39">
                  <c:v>4.2877969299373972E-2</c:v>
                </c:pt>
                <c:pt idx="40">
                  <c:v>4.2877969299373972E-2</c:v>
                </c:pt>
                <c:pt idx="41">
                  <c:v>1.0719492324843493E-2</c:v>
                </c:pt>
                <c:pt idx="42">
                  <c:v>1.0719492324843493E-2</c:v>
                </c:pt>
                <c:pt idx="43">
                  <c:v>0</c:v>
                </c:pt>
                <c:pt idx="44">
                  <c:v>0</c:v>
                </c:pt>
                <c:pt idx="45">
                  <c:v>2.1438984649686986E-2</c:v>
                </c:pt>
                <c:pt idx="46">
                  <c:v>2.1438984649686986E-2</c:v>
                </c:pt>
                <c:pt idx="47">
                  <c:v>1.0719492324843493E-2</c:v>
                </c:pt>
                <c:pt idx="48">
                  <c:v>1.0719492324843493E-2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AF-44D8-95ED-39604F2682AD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eLF!$U$3:$V$3</c:f>
              <c:numCache>
                <c:formatCode>0.000</c:formatCode>
                <c:ptCount val="2"/>
                <c:pt idx="0">
                  <c:v>108.09874053394955</c:v>
                </c:pt>
                <c:pt idx="1">
                  <c:v>108.09874053394955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AF-44D8-95ED-39604F2682AD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eLF!$U$4:$V$4</c:f>
              <c:numCache>
                <c:formatCode>0.000</c:formatCode>
                <c:ptCount val="2"/>
                <c:pt idx="0">
                  <c:v>106.02729225725813</c:v>
                </c:pt>
                <c:pt idx="1">
                  <c:v>106.02729225725813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AF-44D8-95ED-39604F2682AD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eLF!$U$5:$V$5</c:f>
              <c:numCache>
                <c:formatCode>0.000</c:formatCode>
                <c:ptCount val="2"/>
                <c:pt idx="0">
                  <c:v>111.84815712591325</c:v>
                </c:pt>
                <c:pt idx="1">
                  <c:v>111.84815712591325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AF-44D8-95ED-39604F2682AD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eLF!$U$6:$V$6</c:f>
              <c:numCache>
                <c:formatCode>0.000</c:formatCode>
                <c:ptCount val="2"/>
                <c:pt idx="0">
                  <c:v>111.22592689457034</c:v>
                </c:pt>
                <c:pt idx="1">
                  <c:v>111.22592689457034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AF-44D8-95ED-39604F2682AD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eLF!$U$7:$V$7</c:f>
              <c:numCache>
                <c:formatCode>0.000</c:formatCode>
                <c:ptCount val="2"/>
                <c:pt idx="0">
                  <c:v>67.983868161702617</c:v>
                </c:pt>
                <c:pt idx="1">
                  <c:v>67.983868161702617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AF-44D8-95ED-39604F2682AD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eLF!$U$8:$V$8</c:f>
              <c:numCache>
                <c:formatCode>0.000</c:formatCode>
                <c:ptCount val="2"/>
                <c:pt idx="0">
                  <c:v>4.2417016585863037</c:v>
                </c:pt>
                <c:pt idx="1">
                  <c:v>4.2417016585863037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FAF-44D8-95ED-39604F2682AD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eLF!$U$11:$V$11</c:f>
              <c:numCache>
                <c:formatCode>0.000</c:formatCode>
                <c:ptCount val="2"/>
                <c:pt idx="0">
                  <c:v>86.2</c:v>
                </c:pt>
                <c:pt idx="1">
                  <c:v>86.2</c:v>
                </c:pt>
              </c:numCache>
            </c:numRef>
          </c:xVal>
          <c:yVal>
            <c:numRef>
              <c:f>eLF!$U$2:$V$2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FAF-44D8-95ED-39604F268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50112"/>
        <c:axId val="132651648"/>
      </c:scatterChart>
      <c:valAx>
        <c:axId val="132650112"/>
        <c:scaling>
          <c:orientation val="minMax"/>
          <c:max val="150"/>
          <c:min val="5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2651648"/>
        <c:crosses val="autoZero"/>
        <c:crossBetween val="midCat"/>
        <c:majorUnit val="50"/>
        <c:minorUnit val="10"/>
      </c:valAx>
      <c:valAx>
        <c:axId val="132651648"/>
        <c:scaling>
          <c:orientation val="minMax"/>
          <c:max val="0.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2650112"/>
        <c:crosses val="autoZero"/>
        <c:crossBetween val="midCat"/>
        <c:majorUnit val="0.05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Cyanid!$M$3:$M$252</c:f>
              <c:numCache>
                <c:formatCode>d/m/yyyy;@</c:formatCode>
                <c:ptCount val="250"/>
                <c:pt idx="0">
                  <c:v>35829</c:v>
                </c:pt>
                <c:pt idx="1">
                  <c:v>35928</c:v>
                </c:pt>
                <c:pt idx="2">
                  <c:v>36034</c:v>
                </c:pt>
                <c:pt idx="3">
                  <c:v>36118</c:v>
                </c:pt>
                <c:pt idx="4">
                  <c:v>36214</c:v>
                </c:pt>
                <c:pt idx="5">
                  <c:v>36305</c:v>
                </c:pt>
                <c:pt idx="6">
                  <c:v>36424</c:v>
                </c:pt>
                <c:pt idx="7">
                  <c:v>36509</c:v>
                </c:pt>
                <c:pt idx="8">
                  <c:v>36594</c:v>
                </c:pt>
                <c:pt idx="9">
                  <c:v>36811</c:v>
                </c:pt>
                <c:pt idx="10">
                  <c:v>36872</c:v>
                </c:pt>
                <c:pt idx="11">
                  <c:v>36951</c:v>
                </c:pt>
                <c:pt idx="12">
                  <c:v>37041</c:v>
                </c:pt>
                <c:pt idx="13">
                  <c:v>37109</c:v>
                </c:pt>
                <c:pt idx="14">
                  <c:v>37194</c:v>
                </c:pt>
                <c:pt idx="15">
                  <c:v>37384</c:v>
                </c:pt>
                <c:pt idx="16">
                  <c:v>37474</c:v>
                </c:pt>
                <c:pt idx="17">
                  <c:v>37574</c:v>
                </c:pt>
                <c:pt idx="18">
                  <c:v>37679</c:v>
                </c:pt>
                <c:pt idx="19">
                  <c:v>37762</c:v>
                </c:pt>
                <c:pt idx="20">
                  <c:v>37889</c:v>
                </c:pt>
                <c:pt idx="21">
                  <c:v>38043</c:v>
                </c:pt>
                <c:pt idx="22">
                  <c:v>38142</c:v>
                </c:pt>
                <c:pt idx="23">
                  <c:v>38203</c:v>
                </c:pt>
                <c:pt idx="24">
                  <c:v>38287</c:v>
                </c:pt>
                <c:pt idx="25">
                  <c:v>40288</c:v>
                </c:pt>
                <c:pt idx="26">
                  <c:v>40478</c:v>
                </c:pt>
                <c:pt idx="27">
                  <c:v>40665</c:v>
                </c:pt>
                <c:pt idx="28">
                  <c:v>40835</c:v>
                </c:pt>
                <c:pt idx="29">
                  <c:v>41025</c:v>
                </c:pt>
                <c:pt idx="30">
                  <c:v>41204</c:v>
                </c:pt>
                <c:pt idx="31">
                  <c:v>41401</c:v>
                </c:pt>
                <c:pt idx="32">
                  <c:v>41575</c:v>
                </c:pt>
                <c:pt idx="33">
                  <c:v>41876</c:v>
                </c:pt>
                <c:pt idx="34">
                  <c:v>41939</c:v>
                </c:pt>
                <c:pt idx="35">
                  <c:v>42109</c:v>
                </c:pt>
              </c:numCache>
            </c:numRef>
          </c:xVal>
          <c:yVal>
            <c:numRef>
              <c:f>Cyanid!$N$3:$N$252</c:f>
              <c:numCache>
                <c:formatCode>General</c:formatCode>
                <c:ptCount val="250"/>
                <c:pt idx="0">
                  <c:v>0.06</c:v>
                </c:pt>
                <c:pt idx="1">
                  <c:v>0.05</c:v>
                </c:pt>
                <c:pt idx="2">
                  <c:v>0.06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2.3E-2</c:v>
                </c:pt>
                <c:pt idx="7">
                  <c:v>3.9E-2</c:v>
                </c:pt>
                <c:pt idx="8">
                  <c:v>1.7999999999999999E-2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0.05</c:v>
                </c:pt>
                <c:pt idx="12">
                  <c:v>0.05</c:v>
                </c:pt>
                <c:pt idx="13">
                  <c:v>0.14000000000000001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0.09</c:v>
                </c:pt>
                <c:pt idx="19">
                  <c:v>0.12</c:v>
                </c:pt>
                <c:pt idx="20">
                  <c:v>0.05</c:v>
                </c:pt>
                <c:pt idx="21">
                  <c:v>0.05</c:v>
                </c:pt>
                <c:pt idx="22">
                  <c:v>0.1</c:v>
                </c:pt>
                <c:pt idx="23">
                  <c:v>0.05</c:v>
                </c:pt>
                <c:pt idx="24">
                  <c:v>0.1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6.5000000000000002E-2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1.7000000000000001E-2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BB-4B59-BBCB-6194C1598C57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Cyanid!$E$57:$E$58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Cyanid!$F$57:$F$58</c:f>
              <c:numCache>
                <c:formatCode>0.000</c:formatCode>
                <c:ptCount val="2"/>
                <c:pt idx="0">
                  <c:v>0.11565149540265215</c:v>
                </c:pt>
                <c:pt idx="1">
                  <c:v>0.11565149540265215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BB-4B59-BBCB-6194C1598C57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Cyanid!$E$57:$E$58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Cyanid!$J$57:$J$58</c:f>
              <c:numCache>
                <c:formatCode>0.000</c:formatCode>
                <c:ptCount val="2"/>
                <c:pt idx="0">
                  <c:v>0.12054337826757826</c:v>
                </c:pt>
                <c:pt idx="1">
                  <c:v>0.12054337826757826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BB-4B59-BBCB-6194C1598C57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Cyanid!$G$122:$G$123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42109</c:v>
                </c:pt>
              </c:numCache>
            </c:numRef>
          </c:xVal>
          <c:yVal>
            <c:numRef>
              <c:f>Cyanid!$I$122:$I$123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BB-4B59-BBCB-6194C1598C57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Cyanid!$G$122:$G$123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42109</c:v>
                </c:pt>
              </c:numCache>
            </c:numRef>
          </c:xVal>
          <c:yVal>
            <c:numRef>
              <c:f>Cyanid!$J$122:$J$123</c:f>
              <c:numCache>
                <c:formatCode>General</c:formatCode>
                <c:ptCount val="2"/>
                <c:pt idx="0">
                  <c:v>0.42563366850273582</c:v>
                </c:pt>
                <c:pt idx="1">
                  <c:v>7.4990620361699012E-3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BB-4B59-BBCB-6194C1598C57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Cyanid!$E$57:$E$58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Cyanid!$G$57:$G$58</c:f>
              <c:numCache>
                <c:formatCode>0.000</c:formatCode>
                <c:ptCount val="2"/>
                <c:pt idx="0">
                  <c:v>-2.5540384291541027E-2</c:v>
                </c:pt>
                <c:pt idx="1">
                  <c:v>-2.5540384291541027E-2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BB-4B59-BBCB-6194C1598C57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Cyanid!$E$57:$E$58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Cyanid!$H$57:$H$58</c:f>
              <c:numCache>
                <c:formatCode>0.000</c:formatCode>
                <c:ptCount val="2"/>
                <c:pt idx="0">
                  <c:v>0.12884827617421957</c:v>
                </c:pt>
                <c:pt idx="1">
                  <c:v>0.12884827617421957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8BB-4B59-BBCB-6194C1598C57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Cyanid!$E$57:$E$58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Cyanid!$K$57:$K$58</c:f>
              <c:numCache>
                <c:formatCode>0.000</c:formatCode>
                <c:ptCount val="2"/>
                <c:pt idx="0">
                  <c:v>0.14720966922666462</c:v>
                </c:pt>
                <c:pt idx="1">
                  <c:v>0.14720966922666462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8BB-4B59-BBCB-6194C159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107904"/>
        <c:axId val="154109440"/>
      </c:scatterChart>
      <c:valAx>
        <c:axId val="154107904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4109440"/>
        <c:crossesAt val="0"/>
        <c:crossBetween val="midCat"/>
        <c:majorUnit val="1461"/>
        <c:minorUnit val="365.25"/>
      </c:valAx>
      <c:valAx>
        <c:axId val="154109440"/>
        <c:scaling>
          <c:orientation val="minMax"/>
          <c:max val="0.30000000000000004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4107904"/>
        <c:crossesAt val="0"/>
        <c:crossBetween val="midCat"/>
        <c:majorUnit val="0.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Bor!$F$63:$F$113</c:f>
              <c:numCache>
                <c:formatCode>General</c:formatCode>
                <c:ptCount val="51"/>
                <c:pt idx="0">
                  <c:v>-9.8349674873287274E-2</c:v>
                </c:pt>
                <c:pt idx="1">
                  <c:v>-9.1021306925974821E-2</c:v>
                </c:pt>
                <c:pt idx="2">
                  <c:v>-8.3692938978662368E-2</c:v>
                </c:pt>
                <c:pt idx="3">
                  <c:v>-7.636457103134997E-2</c:v>
                </c:pt>
                <c:pt idx="4">
                  <c:v>-6.9036203084037517E-2</c:v>
                </c:pt>
                <c:pt idx="5">
                  <c:v>-6.1707835136725064E-2</c:v>
                </c:pt>
                <c:pt idx="6">
                  <c:v>-5.4379467189412611E-2</c:v>
                </c:pt>
                <c:pt idx="7">
                  <c:v>-4.7051099242100186E-2</c:v>
                </c:pt>
                <c:pt idx="8">
                  <c:v>-3.9722731294787733E-2</c:v>
                </c:pt>
                <c:pt idx="9">
                  <c:v>-3.2394363347475294E-2</c:v>
                </c:pt>
                <c:pt idx="10">
                  <c:v>-2.5065995400162855E-2</c:v>
                </c:pt>
                <c:pt idx="11">
                  <c:v>-1.7737627452850402E-2</c:v>
                </c:pt>
                <c:pt idx="12">
                  <c:v>-1.0409259505537963E-2</c:v>
                </c:pt>
                <c:pt idx="13">
                  <c:v>-3.0808915582255098E-3</c:v>
                </c:pt>
                <c:pt idx="14">
                  <c:v>4.2474763890869155E-3</c:v>
                </c:pt>
                <c:pt idx="15">
                  <c:v>1.1575844336399368E-2</c:v>
                </c:pt>
                <c:pt idx="16">
                  <c:v>1.8904212283711808E-2</c:v>
                </c:pt>
                <c:pt idx="17">
                  <c:v>2.6232580231024254E-2</c:v>
                </c:pt>
                <c:pt idx="18">
                  <c:v>3.35609481783367E-2</c:v>
                </c:pt>
                <c:pt idx="19">
                  <c:v>4.0889316125649146E-2</c:v>
                </c:pt>
                <c:pt idx="20">
                  <c:v>4.8217684072961585E-2</c:v>
                </c:pt>
                <c:pt idx="21">
                  <c:v>5.5546052020274031E-2</c:v>
                </c:pt>
                <c:pt idx="22">
                  <c:v>6.287441996758647E-2</c:v>
                </c:pt>
                <c:pt idx="23">
                  <c:v>7.0202787914898909E-2</c:v>
                </c:pt>
                <c:pt idx="24">
                  <c:v>7.7531155862211362E-2</c:v>
                </c:pt>
                <c:pt idx="25">
                  <c:v>8.4859523809523801E-2</c:v>
                </c:pt>
                <c:pt idx="26">
                  <c:v>9.218789175683624E-2</c:v>
                </c:pt>
                <c:pt idx="27">
                  <c:v>9.9516259704148693E-2</c:v>
                </c:pt>
                <c:pt idx="28">
                  <c:v>0.10684462765146113</c:v>
                </c:pt>
                <c:pt idx="29">
                  <c:v>0.11417299559877395</c:v>
                </c:pt>
                <c:pt idx="30">
                  <c:v>0.12150136354608639</c:v>
                </c:pt>
                <c:pt idx="31">
                  <c:v>0.12882973149339882</c:v>
                </c:pt>
                <c:pt idx="32">
                  <c:v>0.13615809944071128</c:v>
                </c:pt>
                <c:pt idx="33">
                  <c:v>0.14348646738802373</c:v>
                </c:pt>
                <c:pt idx="34">
                  <c:v>0.15081483533533616</c:v>
                </c:pt>
                <c:pt idx="35">
                  <c:v>0.15814320328264861</c:v>
                </c:pt>
                <c:pt idx="36">
                  <c:v>0.16547157122996103</c:v>
                </c:pt>
                <c:pt idx="37">
                  <c:v>0.17279993917727349</c:v>
                </c:pt>
                <c:pt idx="38">
                  <c:v>0.18012830712458594</c:v>
                </c:pt>
                <c:pt idx="39">
                  <c:v>0.18745667507189839</c:v>
                </c:pt>
                <c:pt idx="40">
                  <c:v>0.19478504301921082</c:v>
                </c:pt>
                <c:pt idx="41">
                  <c:v>0.20211341096652324</c:v>
                </c:pt>
                <c:pt idx="42">
                  <c:v>0.2094417789138357</c:v>
                </c:pt>
                <c:pt idx="43">
                  <c:v>0.21677014686114815</c:v>
                </c:pt>
                <c:pt idx="44">
                  <c:v>0.2240985148084606</c:v>
                </c:pt>
                <c:pt idx="45">
                  <c:v>0.23142688275577303</c:v>
                </c:pt>
                <c:pt idx="46">
                  <c:v>0.23875525070308548</c:v>
                </c:pt>
                <c:pt idx="47">
                  <c:v>0.24608361865039793</c:v>
                </c:pt>
                <c:pt idx="48">
                  <c:v>0.25341198659771036</c:v>
                </c:pt>
                <c:pt idx="49">
                  <c:v>0.26074035454502276</c:v>
                </c:pt>
                <c:pt idx="50">
                  <c:v>0.26806872249233488</c:v>
                </c:pt>
              </c:numCache>
            </c:numRef>
          </c:xVal>
          <c:yVal>
            <c:numRef>
              <c:f>Bor!$G$63:$G$113</c:f>
              <c:numCache>
                <c:formatCode>General</c:formatCode>
                <c:ptCount val="51"/>
                <c:pt idx="0">
                  <c:v>4.0574368684081353E-5</c:v>
                </c:pt>
                <c:pt idx="1">
                  <c:v>1.0810862990264608E-4</c:v>
                </c:pt>
                <c:pt idx="2">
                  <c:v>2.7675608371181056E-4</c:v>
                </c:pt>
                <c:pt idx="3">
                  <c:v>6.8071012452918032E-4</c:v>
                </c:pt>
                <c:pt idx="4">
                  <c:v>1.6086274100949379E-3</c:v>
                </c:pt>
                <c:pt idx="5">
                  <c:v>3.6523882732707319E-3</c:v>
                </c:pt>
                <c:pt idx="6">
                  <c:v>7.967583720970969E-3</c:v>
                </c:pt>
                <c:pt idx="7">
                  <c:v>1.6699541685490198E-2</c:v>
                </c:pt>
                <c:pt idx="8">
                  <c:v>3.3628747282672011E-2</c:v>
                </c:pt>
                <c:pt idx="9">
                  <c:v>6.5064642458056848E-2</c:v>
                </c:pt>
                <c:pt idx="10">
                  <c:v>0.1209504883979881</c:v>
                </c:pt>
                <c:pt idx="11">
                  <c:v>0.21602222049679776</c:v>
                </c:pt>
                <c:pt idx="12">
                  <c:v>0.37069561275691515</c:v>
                </c:pt>
                <c:pt idx="13">
                  <c:v>0.61117374170754402</c:v>
                </c:pt>
                <c:pt idx="14">
                  <c:v>0.96814442455065708</c:v>
                </c:pt>
                <c:pt idx="15">
                  <c:v>1.4734785944526256</c:v>
                </c:pt>
                <c:pt idx="16">
                  <c:v>2.1546450415292755</c:v>
                </c:pt>
                <c:pt idx="17">
                  <c:v>3.0271633596163499</c:v>
                </c:pt>
                <c:pt idx="18">
                  <c:v>4.0862431229494947</c:v>
                </c:pt>
                <c:pt idx="19">
                  <c:v>5.299571647584302</c:v>
                </c:pt>
                <c:pt idx="20">
                  <c:v>6.6036729121354254</c:v>
                </c:pt>
                <c:pt idx="21">
                  <c:v>7.9060318707856991</c:v>
                </c:pt>
                <c:pt idx="22">
                  <c:v>9.0941013138949778</c:v>
                </c:pt>
                <c:pt idx="23">
                  <c:v>10.050536298150266</c:v>
                </c:pt>
                <c:pt idx="24">
                  <c:v>10.672026753756661</c:v>
                </c:pt>
                <c:pt idx="25">
                  <c:v>10.887615994983936</c:v>
                </c:pt>
                <c:pt idx="26">
                  <c:v>10.672026753756661</c:v>
                </c:pt>
                <c:pt idx="27">
                  <c:v>10.050536298150266</c:v>
                </c:pt>
                <c:pt idx="28">
                  <c:v>9.0941013138949778</c:v>
                </c:pt>
                <c:pt idx="29">
                  <c:v>7.9060318707856352</c:v>
                </c:pt>
                <c:pt idx="30">
                  <c:v>6.6036729121353588</c:v>
                </c:pt>
                <c:pt idx="31">
                  <c:v>5.299571647584238</c:v>
                </c:pt>
                <c:pt idx="32">
                  <c:v>4.086243122949436</c:v>
                </c:pt>
                <c:pt idx="33">
                  <c:v>3.0271633596162988</c:v>
                </c:pt>
                <c:pt idx="34">
                  <c:v>2.1546450415292369</c:v>
                </c:pt>
                <c:pt idx="35">
                  <c:v>1.4734785944525954</c:v>
                </c:pt>
                <c:pt idx="36">
                  <c:v>0.96814442455063632</c:v>
                </c:pt>
                <c:pt idx="37">
                  <c:v>0.61117374170752914</c:v>
                </c:pt>
                <c:pt idx="38">
                  <c:v>0.37069561275690527</c:v>
                </c:pt>
                <c:pt idx="39">
                  <c:v>0.21602222049679129</c:v>
                </c:pt>
                <c:pt idx="40">
                  <c:v>0.12095048839798443</c:v>
                </c:pt>
                <c:pt idx="41">
                  <c:v>6.5064642458054933E-2</c:v>
                </c:pt>
                <c:pt idx="42">
                  <c:v>3.3628747282670873E-2</c:v>
                </c:pt>
                <c:pt idx="43">
                  <c:v>1.6699541685489618E-2</c:v>
                </c:pt>
                <c:pt idx="44">
                  <c:v>7.9675837209706498E-3</c:v>
                </c:pt>
                <c:pt idx="45">
                  <c:v>3.6523882732705892E-3</c:v>
                </c:pt>
                <c:pt idx="46">
                  <c:v>1.608627410094872E-3</c:v>
                </c:pt>
                <c:pt idx="47">
                  <c:v>6.8071012452915127E-4</c:v>
                </c:pt>
                <c:pt idx="48">
                  <c:v>2.7675608371179679E-4</c:v>
                </c:pt>
                <c:pt idx="49">
                  <c:v>1.0810862990264147E-4</c:v>
                </c:pt>
                <c:pt idx="50">
                  <c:v>4.0574368684081353E-5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63-494C-A458-D4BECC5ADF59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Bor!$I$63:$I$113</c:f>
              <c:numCache>
                <c:formatCode>General</c:formatCode>
                <c:ptCount val="51"/>
                <c:pt idx="0">
                  <c:v>-1.4379696390347314E-2</c:v>
                </c:pt>
                <c:pt idx="1">
                  <c:v>-1.2921380374441911E-2</c:v>
                </c:pt>
                <c:pt idx="2">
                  <c:v>-1.1359928844990985E-2</c:v>
                </c:pt>
                <c:pt idx="3">
                  <c:v>-9.6880478176740621E-3</c:v>
                </c:pt>
                <c:pt idx="4">
                  <c:v>-7.8979274605694219E-3</c:v>
                </c:pt>
                <c:pt idx="5">
                  <c:v>-5.9812056122072882E-3</c:v>
                </c:pt>
                <c:pt idx="6">
                  <c:v>-3.9289287195346627E-3</c:v>
                </c:pt>
                <c:pt idx="7">
                  <c:v>-1.7315100133217243E-3</c:v>
                </c:pt>
                <c:pt idx="8">
                  <c:v>6.2131527436464634E-4</c:v>
                </c:pt>
                <c:pt idx="9">
                  <c:v>3.1405378598121439E-3</c:v>
                </c:pt>
                <c:pt idx="10">
                  <c:v>5.8379257484256486E-3</c:v>
                </c:pt>
                <c:pt idx="11">
                  <c:v>8.7260792064283998E-3</c:v>
                </c:pt>
                <c:pt idx="12">
                  <c:v>1.181848962029023E-2</c:v>
                </c:pt>
                <c:pt idx="13">
                  <c:v>1.512960251883208E-2</c:v>
                </c:pt>
                <c:pt idx="14">
                  <c:v>1.8674885052400746E-2</c:v>
                </c:pt>
                <c:pt idx="15">
                  <c:v>2.2470898244328547E-2</c:v>
                </c:pt>
                <c:pt idx="16">
                  <c:v>2.6535374352184726E-2</c:v>
                </c:pt>
                <c:pt idx="17">
                  <c:v>3.0887299700195492E-2</c:v>
                </c:pt>
                <c:pt idx="18">
                  <c:v>3.5547003369765892E-2</c:v>
                </c:pt>
                <c:pt idx="19">
                  <c:v>4.0536252162402586E-2</c:v>
                </c:pt>
                <c:pt idx="20">
                  <c:v>4.5878352278636375E-2</c:v>
                </c:pt>
                <c:pt idx="21">
                  <c:v>5.1598258187915122E-2</c:v>
                </c:pt>
                <c:pt idx="22">
                  <c:v>5.772268919803035E-2</c:v>
                </c:pt>
                <c:pt idx="23">
                  <c:v>6.4280254268605216E-2</c:v>
                </c:pt>
                <c:pt idx="24">
                  <c:v>7.1301585651684013E-2</c:v>
                </c:pt>
                <c:pt idx="25">
                  <c:v>7.8819481983696454E-2</c:v>
                </c:pt>
                <c:pt idx="26">
                  <c:v>8.6869061497219263E-2</c:v>
                </c:pt>
                <c:pt idx="27">
                  <c:v>9.5487926068231699E-2</c:v>
                </c:pt>
                <c:pt idx="28">
                  <c:v>0.10471633686517576</c:v>
                </c:pt>
                <c:pt idx="29">
                  <c:v>0.11459740242032851</c:v>
                </c:pt>
                <c:pt idx="30">
                  <c:v>0.12517728000201872</c:v>
                </c:pt>
                <c:pt idx="31">
                  <c:v>0.13650539122836172</c:v>
                </c:pt>
                <c:pt idx="32">
                  <c:v>0.14863465292969588</c:v>
                </c:pt>
                <c:pt idx="33">
                  <c:v>0.16162172433815206</c:v>
                </c:pt>
                <c:pt idx="34">
                  <c:v>0.17552727175904639</c:v>
                </c:pt>
                <c:pt idx="35">
                  <c:v>0.19041625196045175</c:v>
                </c:pt>
                <c:pt idx="36">
                  <c:v>0.20635821560474127</c:v>
                </c:pt>
                <c:pt idx="37">
                  <c:v>0.22342763213951908</c:v>
                </c:pt>
                <c:pt idx="38">
                  <c:v>0.24170423766559637</c:v>
                </c:pt>
                <c:pt idx="39">
                  <c:v>0.261273407407003</c:v>
                </c:pt>
                <c:pt idx="40">
                  <c:v>0.28222655452294787</c:v>
                </c:pt>
                <c:pt idx="41">
                  <c:v>0.30466155712469156</c:v>
                </c:pt>
                <c:pt idx="42">
                  <c:v>0.32868321549205104</c:v>
                </c:pt>
                <c:pt idx="43">
                  <c:v>0.35440374162532107</c:v>
                </c:pt>
                <c:pt idx="44">
                  <c:v>0.38194328341945183</c:v>
                </c:pt>
                <c:pt idx="45">
                  <c:v>0.41143048590904763</c:v>
                </c:pt>
                <c:pt idx="46">
                  <c:v>0.44300309220592271</c:v>
                </c:pt>
                <c:pt idx="47">
                  <c:v>0.47680858693636363</c:v>
                </c:pt>
                <c:pt idx="48">
                  <c:v>0.51300488518377729</c:v>
                </c:pt>
                <c:pt idx="49">
                  <c:v>0.55176107015497255</c:v>
                </c:pt>
                <c:pt idx="50">
                  <c:v>0.59325818301591926</c:v>
                </c:pt>
              </c:numCache>
            </c:numRef>
          </c:xVal>
          <c:yVal>
            <c:numRef>
              <c:f>Bor!$J$63:$J$113</c:f>
              <c:numCache>
                <c:formatCode>General</c:formatCode>
                <c:ptCount val="51"/>
                <c:pt idx="0">
                  <c:v>2.1102325456197468E-4</c:v>
                </c:pt>
                <c:pt idx="1">
                  <c:v>5.2512421710725597E-4</c:v>
                </c:pt>
                <c:pt idx="2">
                  <c:v>1.2555152670270238E-3</c:v>
                </c:pt>
                <c:pt idx="3">
                  <c:v>2.8840990390035636E-3</c:v>
                </c:pt>
                <c:pt idx="4">
                  <c:v>6.3654126416389433E-3</c:v>
                </c:pt>
                <c:pt idx="5">
                  <c:v>1.3498054442976765E-2</c:v>
                </c:pt>
                <c:pt idx="6">
                  <c:v>2.7500716523838543E-2</c:v>
                </c:pt>
                <c:pt idx="7">
                  <c:v>5.3832563832918102E-2</c:v>
                </c:pt>
                <c:pt idx="8">
                  <c:v>0.10124517593738883</c:v>
                </c:pt>
                <c:pt idx="9">
                  <c:v>0.18294975637392083</c:v>
                </c:pt>
                <c:pt idx="10">
                  <c:v>0.31762710211012374</c:v>
                </c:pt>
                <c:pt idx="11">
                  <c:v>0.52982383253781418</c:v>
                </c:pt>
                <c:pt idx="12">
                  <c:v>0.84912895044778502</c:v>
                </c:pt>
                <c:pt idx="13">
                  <c:v>1.3075070133940048</c:v>
                </c:pt>
                <c:pt idx="14">
                  <c:v>1.9343837125333727</c:v>
                </c:pt>
                <c:pt idx="15">
                  <c:v>2.7495995446797519</c:v>
                </c:pt>
                <c:pt idx="16">
                  <c:v>3.7551257787002204</c:v>
                </c:pt>
                <c:pt idx="17">
                  <c:v>4.9272857616731391</c:v>
                </c:pt>
                <c:pt idx="18">
                  <c:v>6.2118252945349122</c:v>
                </c:pt>
                <c:pt idx="19">
                  <c:v>7.5241758349725796</c:v>
                </c:pt>
                <c:pt idx="20">
                  <c:v>8.7564255642538864</c:v>
                </c:pt>
                <c:pt idx="21">
                  <c:v>9.790908794484416</c:v>
                </c:pt>
                <c:pt idx="22">
                  <c:v>10.518344006733967</c:v>
                </c:pt>
                <c:pt idx="23">
                  <c:v>10.856752983066235</c:v>
                </c:pt>
                <c:pt idx="24">
                  <c:v>10.766654172958678</c:v>
                </c:pt>
                <c:pt idx="25">
                  <c:v>10.258640039237388</c:v>
                </c:pt>
                <c:pt idx="26">
                  <c:v>9.3913286660941662</c:v>
                </c:pt>
                <c:pt idx="27">
                  <c:v>8.2602370132440015</c:v>
                </c:pt>
                <c:pt idx="28">
                  <c:v>6.9804946514987636</c:v>
                </c:pt>
                <c:pt idx="29">
                  <c:v>5.6677163771652959</c:v>
                </c:pt>
                <c:pt idx="30">
                  <c:v>4.4213840532093576</c:v>
                </c:pt>
                <c:pt idx="31">
                  <c:v>3.3138785848893551</c:v>
                </c:pt>
                <c:pt idx="32">
                  <c:v>2.3863995874118542</c:v>
                </c:pt>
                <c:pt idx="33">
                  <c:v>1.6511174173690488</c:v>
                </c:pt>
                <c:pt idx="34">
                  <c:v>1.0975921010192056</c:v>
                </c:pt>
                <c:pt idx="35">
                  <c:v>0.70102290438518644</c:v>
                </c:pt>
                <c:pt idx="36">
                  <c:v>0.43018143450105611</c:v>
                </c:pt>
                <c:pt idx="37">
                  <c:v>0.25362925136673842</c:v>
                </c:pt>
                <c:pt idx="38">
                  <c:v>0.1436730253508848</c:v>
                </c:pt>
                <c:pt idx="39">
                  <c:v>7.819506674514197E-2</c:v>
                </c:pt>
                <c:pt idx="40">
                  <c:v>4.0889489945653786E-2</c:v>
                </c:pt>
                <c:pt idx="41">
                  <c:v>2.0543396693141598E-2</c:v>
                </c:pt>
                <c:pt idx="42">
                  <c:v>9.9165597378330032E-3</c:v>
                </c:pt>
                <c:pt idx="43">
                  <c:v>4.5991548600881086E-3</c:v>
                </c:pt>
                <c:pt idx="44">
                  <c:v>2.0493835909005521E-3</c:v>
                </c:pt>
                <c:pt idx="45">
                  <c:v>8.7739811432985498E-4</c:v>
                </c:pt>
                <c:pt idx="46">
                  <c:v>3.6090953797173592E-4</c:v>
                </c:pt>
                <c:pt idx="47">
                  <c:v>1.4263570175977521E-4</c:v>
                </c:pt>
                <c:pt idx="48">
                  <c:v>5.4160959238099166E-5</c:v>
                </c:pt>
                <c:pt idx="49">
                  <c:v>1.9759350842102351E-5</c:v>
                </c:pt>
                <c:pt idx="50">
                  <c:v>6.9260754501858773E-6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63-494C-A458-D4BECC5ADF59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Bor!$T$46:$T$97</c:f>
              <c:numCache>
                <c:formatCode>0.0</c:formatCode>
                <c:ptCount val="52"/>
                <c:pt idx="0">
                  <c:v>-6.4259999999999998E-5</c:v>
                </c:pt>
                <c:pt idx="1">
                  <c:v>6.4259999999999998E-5</c:v>
                </c:pt>
                <c:pt idx="2">
                  <c:v>6.3617400000000003E-3</c:v>
                </c:pt>
                <c:pt idx="3">
                  <c:v>6.4902600000000003E-3</c:v>
                </c:pt>
                <c:pt idx="4">
                  <c:v>1.2787740000000001E-2</c:v>
                </c:pt>
                <c:pt idx="5">
                  <c:v>1.2916260000000001E-2</c:v>
                </c:pt>
                <c:pt idx="6">
                  <c:v>1.921374E-2</c:v>
                </c:pt>
                <c:pt idx="7">
                  <c:v>1.934226E-2</c:v>
                </c:pt>
                <c:pt idx="8">
                  <c:v>2.5639740000000001E-2</c:v>
                </c:pt>
                <c:pt idx="9">
                  <c:v>2.5768260000000001E-2</c:v>
                </c:pt>
                <c:pt idx="10">
                  <c:v>3.2065740000000002E-2</c:v>
                </c:pt>
                <c:pt idx="11">
                  <c:v>3.2194259999999995E-2</c:v>
                </c:pt>
                <c:pt idx="12">
                  <c:v>3.8491740000000003E-2</c:v>
                </c:pt>
                <c:pt idx="13">
                  <c:v>3.8620259999999997E-2</c:v>
                </c:pt>
                <c:pt idx="14">
                  <c:v>4.4917740000000005E-2</c:v>
                </c:pt>
                <c:pt idx="15">
                  <c:v>4.5046259999999998E-2</c:v>
                </c:pt>
                <c:pt idx="16">
                  <c:v>5.1343740000000006E-2</c:v>
                </c:pt>
                <c:pt idx="17">
                  <c:v>5.1472259999999999E-2</c:v>
                </c:pt>
                <c:pt idx="18">
                  <c:v>5.7769740000000007E-2</c:v>
                </c:pt>
                <c:pt idx="19">
                  <c:v>5.789826E-2</c:v>
                </c:pt>
                <c:pt idx="20">
                  <c:v>6.4195740000000001E-2</c:v>
                </c:pt>
                <c:pt idx="21">
                  <c:v>6.4324259999999994E-2</c:v>
                </c:pt>
                <c:pt idx="22">
                  <c:v>7.0621740000000002E-2</c:v>
                </c:pt>
                <c:pt idx="23">
                  <c:v>7.0750259999999995E-2</c:v>
                </c:pt>
                <c:pt idx="24">
                  <c:v>7.7047740000000003E-2</c:v>
                </c:pt>
                <c:pt idx="25">
                  <c:v>7.7176259999999997E-2</c:v>
                </c:pt>
                <c:pt idx="26">
                  <c:v>8.3473740000000005E-2</c:v>
                </c:pt>
                <c:pt idx="27">
                  <c:v>8.3602259999999998E-2</c:v>
                </c:pt>
                <c:pt idx="28">
                  <c:v>8.9899740000000006E-2</c:v>
                </c:pt>
                <c:pt idx="29">
                  <c:v>9.0028259999999999E-2</c:v>
                </c:pt>
                <c:pt idx="30">
                  <c:v>9.6325740000000007E-2</c:v>
                </c:pt>
                <c:pt idx="31">
                  <c:v>9.645426E-2</c:v>
                </c:pt>
                <c:pt idx="32">
                  <c:v>0.10275174000000001</c:v>
                </c:pt>
                <c:pt idx="33">
                  <c:v>0.10288026</c:v>
                </c:pt>
                <c:pt idx="34">
                  <c:v>0.10917774000000001</c:v>
                </c:pt>
                <c:pt idx="35">
                  <c:v>0.10930626</c:v>
                </c:pt>
                <c:pt idx="36">
                  <c:v>0.11560374000000001</c:v>
                </c:pt>
                <c:pt idx="37">
                  <c:v>0.11573226</c:v>
                </c:pt>
                <c:pt idx="38">
                  <c:v>0.12202974000000001</c:v>
                </c:pt>
                <c:pt idx="39">
                  <c:v>0.12215826</c:v>
                </c:pt>
                <c:pt idx="40">
                  <c:v>0.12845573999999998</c:v>
                </c:pt>
                <c:pt idx="41">
                  <c:v>0.12858426000000001</c:v>
                </c:pt>
                <c:pt idx="42">
                  <c:v>0.13488174</c:v>
                </c:pt>
                <c:pt idx="43">
                  <c:v>0.13501026000000002</c:v>
                </c:pt>
                <c:pt idx="44">
                  <c:v>0.14130773999999999</c:v>
                </c:pt>
                <c:pt idx="45">
                  <c:v>0.14143626000000001</c:v>
                </c:pt>
                <c:pt idx="46">
                  <c:v>0.14773374</c:v>
                </c:pt>
                <c:pt idx="47">
                  <c:v>0.14786226000000002</c:v>
                </c:pt>
                <c:pt idx="48">
                  <c:v>0.15415973999999999</c:v>
                </c:pt>
                <c:pt idx="49">
                  <c:v>0.15428826000000001</c:v>
                </c:pt>
                <c:pt idx="50">
                  <c:v>0.16058574</c:v>
                </c:pt>
                <c:pt idx="51">
                  <c:v>0.16071426000000003</c:v>
                </c:pt>
              </c:numCache>
            </c:numRef>
          </c:xVal>
          <c:yVal>
            <c:numRef>
              <c:f>Bor!$U$46:$U$97</c:f>
              <c:numCache>
                <c:formatCode>0.0000</c:formatCode>
                <c:ptCount val="52"/>
                <c:pt idx="0">
                  <c:v>0</c:v>
                </c:pt>
                <c:pt idx="1">
                  <c:v>3.70518577801491</c:v>
                </c:pt>
                <c:pt idx="2">
                  <c:v>3.70518577801491</c:v>
                </c:pt>
                <c:pt idx="3">
                  <c:v>3.70518577801491</c:v>
                </c:pt>
                <c:pt idx="4">
                  <c:v>3.70518577801491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7.41037155602982</c:v>
                </c:pt>
                <c:pt idx="12">
                  <c:v>7.41037155602982</c:v>
                </c:pt>
                <c:pt idx="13">
                  <c:v>3.70518577801491</c:v>
                </c:pt>
                <c:pt idx="14">
                  <c:v>3.70518577801491</c:v>
                </c:pt>
                <c:pt idx="15">
                  <c:v>0</c:v>
                </c:pt>
                <c:pt idx="16">
                  <c:v>0</c:v>
                </c:pt>
                <c:pt idx="17">
                  <c:v>7.41037155602982</c:v>
                </c:pt>
                <c:pt idx="18">
                  <c:v>7.41037155602982</c:v>
                </c:pt>
                <c:pt idx="19">
                  <c:v>14.82074311205964</c:v>
                </c:pt>
                <c:pt idx="20">
                  <c:v>14.82074311205964</c:v>
                </c:pt>
                <c:pt idx="21">
                  <c:v>11.115557334044729</c:v>
                </c:pt>
                <c:pt idx="22">
                  <c:v>11.115557334044729</c:v>
                </c:pt>
                <c:pt idx="23">
                  <c:v>11.115557334044729</c:v>
                </c:pt>
                <c:pt idx="24">
                  <c:v>11.115557334044729</c:v>
                </c:pt>
                <c:pt idx="25">
                  <c:v>7.41037155602982</c:v>
                </c:pt>
                <c:pt idx="26">
                  <c:v>7.41037155602982</c:v>
                </c:pt>
                <c:pt idx="27">
                  <c:v>14.82074311205964</c:v>
                </c:pt>
                <c:pt idx="28">
                  <c:v>14.82074311205964</c:v>
                </c:pt>
                <c:pt idx="29">
                  <c:v>11.115557334044729</c:v>
                </c:pt>
                <c:pt idx="30">
                  <c:v>11.115557334044729</c:v>
                </c:pt>
                <c:pt idx="31">
                  <c:v>11.115557334044729</c:v>
                </c:pt>
                <c:pt idx="32">
                  <c:v>11.115557334044729</c:v>
                </c:pt>
                <c:pt idx="33">
                  <c:v>7.41037155602982</c:v>
                </c:pt>
                <c:pt idx="34">
                  <c:v>7.41037155602982</c:v>
                </c:pt>
                <c:pt idx="35">
                  <c:v>0</c:v>
                </c:pt>
                <c:pt idx="36">
                  <c:v>0</c:v>
                </c:pt>
                <c:pt idx="37">
                  <c:v>11.115557334044729</c:v>
                </c:pt>
                <c:pt idx="38">
                  <c:v>11.115557334044729</c:v>
                </c:pt>
                <c:pt idx="39">
                  <c:v>7.41037155602982</c:v>
                </c:pt>
                <c:pt idx="40">
                  <c:v>7.41037155602982</c:v>
                </c:pt>
                <c:pt idx="41">
                  <c:v>0</c:v>
                </c:pt>
                <c:pt idx="42">
                  <c:v>0</c:v>
                </c:pt>
                <c:pt idx="43">
                  <c:v>3.70518577801491</c:v>
                </c:pt>
                <c:pt idx="44">
                  <c:v>3.70518577801491</c:v>
                </c:pt>
                <c:pt idx="45">
                  <c:v>7.41037155602982</c:v>
                </c:pt>
                <c:pt idx="46">
                  <c:v>7.41037155602982</c:v>
                </c:pt>
                <c:pt idx="47">
                  <c:v>7.41037155602982</c:v>
                </c:pt>
                <c:pt idx="48">
                  <c:v>7.41037155602982</c:v>
                </c:pt>
                <c:pt idx="49">
                  <c:v>7.41037155602982</c:v>
                </c:pt>
                <c:pt idx="50">
                  <c:v>7.41037155602982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63-494C-A458-D4BECC5ADF59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Bor!$U$3:$V$3</c:f>
              <c:numCache>
                <c:formatCode>0.000</c:formatCode>
                <c:ptCount val="2"/>
                <c:pt idx="0">
                  <c:v>0.15667621002047435</c:v>
                </c:pt>
                <c:pt idx="1">
                  <c:v>0.15667621002047435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63-494C-A458-D4BECC5ADF59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Bor!$U$4:$V$4</c:f>
              <c:numCache>
                <c:formatCode>0.000</c:formatCode>
                <c:ptCount val="2"/>
                <c:pt idx="0">
                  <c:v>0.16465816482869741</c:v>
                </c:pt>
                <c:pt idx="1">
                  <c:v>0.16465816482869741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63-494C-A458-D4BECC5ADF59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Bor!$U$5:$V$5</c:f>
              <c:numCache>
                <c:formatCode>0.000</c:formatCode>
                <c:ptCount val="2"/>
                <c:pt idx="0">
                  <c:v>0.17010118978162053</c:v>
                </c:pt>
                <c:pt idx="1">
                  <c:v>0.17010118978162053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63-494C-A458-D4BECC5ADF59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Bor!$U$6:$V$6</c:f>
              <c:numCache>
                <c:formatCode>0.000</c:formatCode>
                <c:ptCount val="2"/>
                <c:pt idx="0">
                  <c:v>0.19459409780172959</c:v>
                </c:pt>
                <c:pt idx="1">
                  <c:v>0.19459409780172959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63-494C-A458-D4BECC5ADF59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Bor!$U$7:$V$7</c:f>
              <c:numCache>
                <c:formatCode>0.000</c:formatCode>
                <c:ptCount val="2"/>
                <c:pt idx="0">
                  <c:v>1.3042837598573248E-2</c:v>
                </c:pt>
                <c:pt idx="1">
                  <c:v>1.3042837598573248E-2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63-494C-A458-D4BECC5ADF59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Bor!$U$8:$V$8</c:f>
              <c:numCache>
                <c:formatCode>0.000</c:formatCode>
                <c:ptCount val="2"/>
                <c:pt idx="0">
                  <c:v>-2.842797571481638</c:v>
                </c:pt>
                <c:pt idx="1">
                  <c:v>-2.842797571481638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F63-494C-A458-D4BECC5ADF59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Bor!$U$11:$V$11</c:f>
              <c:numCache>
                <c:formatCode>0.000</c:formatCode>
                <c:ptCount val="2"/>
                <c:pt idx="0">
                  <c:v>8.1500000000000003E-2</c:v>
                </c:pt>
                <c:pt idx="1">
                  <c:v>8.1500000000000003E-2</c:v>
                </c:pt>
              </c:numCache>
            </c:numRef>
          </c:xVal>
          <c:yVal>
            <c:numRef>
              <c:f>Bor!$U$2:$V$2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F63-494C-A458-D4BECC5A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30080"/>
        <c:axId val="147240064"/>
      </c:scatterChart>
      <c:valAx>
        <c:axId val="147230080"/>
        <c:scaling>
          <c:orientation val="minMax"/>
          <c:max val="0.30000000000000004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240064"/>
        <c:crosses val="autoZero"/>
        <c:crossBetween val="midCat"/>
        <c:majorUnit val="0.1"/>
        <c:minorUnit val="5.000000000000001E-2"/>
      </c:valAx>
      <c:valAx>
        <c:axId val="147240064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230080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Bor!$M$3:$M$252</c:f>
              <c:numCache>
                <c:formatCode>d/m/yyyy;@</c:formatCode>
                <c:ptCount val="250"/>
                <c:pt idx="0">
                  <c:v>36928</c:v>
                </c:pt>
                <c:pt idx="1">
                  <c:v>38476</c:v>
                </c:pt>
                <c:pt idx="2">
                  <c:v>39119</c:v>
                </c:pt>
                <c:pt idx="3">
                  <c:v>39205</c:v>
                </c:pt>
                <c:pt idx="4">
                  <c:v>39297</c:v>
                </c:pt>
                <c:pt idx="5">
                  <c:v>39391</c:v>
                </c:pt>
                <c:pt idx="6">
                  <c:v>39478</c:v>
                </c:pt>
                <c:pt idx="7">
                  <c:v>39573</c:v>
                </c:pt>
                <c:pt idx="8">
                  <c:v>39664</c:v>
                </c:pt>
                <c:pt idx="9">
                  <c:v>39757</c:v>
                </c:pt>
                <c:pt idx="10">
                  <c:v>39891</c:v>
                </c:pt>
                <c:pt idx="11">
                  <c:v>39939</c:v>
                </c:pt>
                <c:pt idx="12">
                  <c:v>40030</c:v>
                </c:pt>
                <c:pt idx="13">
                  <c:v>40094</c:v>
                </c:pt>
                <c:pt idx="14">
                  <c:v>40210</c:v>
                </c:pt>
                <c:pt idx="15">
                  <c:v>40303</c:v>
                </c:pt>
                <c:pt idx="16">
                  <c:v>40392</c:v>
                </c:pt>
                <c:pt idx="17">
                  <c:v>40487</c:v>
                </c:pt>
                <c:pt idx="18">
                  <c:v>40597</c:v>
                </c:pt>
                <c:pt idx="19">
                  <c:v>40683</c:v>
                </c:pt>
                <c:pt idx="20">
                  <c:v>40781</c:v>
                </c:pt>
                <c:pt idx="21">
                  <c:v>40868</c:v>
                </c:pt>
                <c:pt idx="22">
                  <c:v>40948</c:v>
                </c:pt>
                <c:pt idx="23">
                  <c:v>41044</c:v>
                </c:pt>
                <c:pt idx="24">
                  <c:v>41141</c:v>
                </c:pt>
                <c:pt idx="25">
                  <c:v>41227</c:v>
                </c:pt>
                <c:pt idx="26">
                  <c:v>41309</c:v>
                </c:pt>
                <c:pt idx="27">
                  <c:v>41411</c:v>
                </c:pt>
                <c:pt idx="28">
                  <c:v>41487</c:v>
                </c:pt>
                <c:pt idx="29">
                  <c:v>41582</c:v>
                </c:pt>
                <c:pt idx="30">
                  <c:v>41675</c:v>
                </c:pt>
                <c:pt idx="31">
                  <c:v>41764</c:v>
                </c:pt>
                <c:pt idx="32">
                  <c:v>41855</c:v>
                </c:pt>
                <c:pt idx="33">
                  <c:v>41948</c:v>
                </c:pt>
                <c:pt idx="34">
                  <c:v>42059</c:v>
                </c:pt>
                <c:pt idx="35">
                  <c:v>42131</c:v>
                </c:pt>
                <c:pt idx="36">
                  <c:v>42229</c:v>
                </c:pt>
                <c:pt idx="37">
                  <c:v>42317</c:v>
                </c:pt>
                <c:pt idx="38">
                  <c:v>42402</c:v>
                </c:pt>
                <c:pt idx="39">
                  <c:v>42500</c:v>
                </c:pt>
                <c:pt idx="40">
                  <c:v>42592</c:v>
                </c:pt>
                <c:pt idx="41">
                  <c:v>42681</c:v>
                </c:pt>
              </c:numCache>
            </c:numRef>
          </c:xVal>
          <c:yVal>
            <c:numRef>
              <c:f>Bor!$N$3:$N$252</c:f>
              <c:numCache>
                <c:formatCode>General</c:formatCode>
                <c:ptCount val="250"/>
                <c:pt idx="0">
                  <c:v>0.05</c:v>
                </c:pt>
                <c:pt idx="1">
                  <c:v>0.06</c:v>
                </c:pt>
                <c:pt idx="2">
                  <c:v>5.5E-2</c:v>
                </c:pt>
                <c:pt idx="3">
                  <c:v>3.6999999999999998E-2</c:v>
                </c:pt>
                <c:pt idx="4">
                  <c:v>6.8000000000000005E-2</c:v>
                </c:pt>
                <c:pt idx="5">
                  <c:v>5.8999999999999997E-2</c:v>
                </c:pt>
                <c:pt idx="6">
                  <c:v>0.06</c:v>
                </c:pt>
                <c:pt idx="7">
                  <c:v>5.0999999999999997E-2</c:v>
                </c:pt>
                <c:pt idx="8">
                  <c:v>0.08</c:v>
                </c:pt>
                <c:pt idx="9">
                  <c:v>7.0999999999999994E-2</c:v>
                </c:pt>
                <c:pt idx="10">
                  <c:v>5.2999999999999999E-2</c:v>
                </c:pt>
                <c:pt idx="11">
                  <c:v>7.8E-2</c:v>
                </c:pt>
                <c:pt idx="12">
                  <c:v>0.13</c:v>
                </c:pt>
                <c:pt idx="13">
                  <c:v>8.7999999999999995E-2</c:v>
                </c:pt>
                <c:pt idx="14">
                  <c:v>7.4999999999999997E-2</c:v>
                </c:pt>
                <c:pt idx="15">
                  <c:v>2.8000000000000001E-2</c:v>
                </c:pt>
                <c:pt idx="16">
                  <c:v>7.9000000000000001E-2</c:v>
                </c:pt>
                <c:pt idx="17">
                  <c:v>6.7000000000000004E-2</c:v>
                </c:pt>
                <c:pt idx="18">
                  <c:v>2.5999999999999999E-2</c:v>
                </c:pt>
                <c:pt idx="19">
                  <c:v>5.2999999999999999E-2</c:v>
                </c:pt>
                <c:pt idx="20">
                  <c:v>5.5E-2</c:v>
                </c:pt>
                <c:pt idx="21">
                  <c:v>8.3000000000000004E-2</c:v>
                </c:pt>
                <c:pt idx="22">
                  <c:v>6.5000000000000002E-2</c:v>
                </c:pt>
                <c:pt idx="23">
                  <c:v>9.1999999999999998E-2</c:v>
                </c:pt>
                <c:pt idx="24">
                  <c:v>8.6999999999999994E-2</c:v>
                </c:pt>
                <c:pt idx="25">
                  <c:v>0.11</c:v>
                </c:pt>
                <c:pt idx="26">
                  <c:v>0.14000000000000001</c:v>
                </c:pt>
                <c:pt idx="27">
                  <c:v>9.01E-2</c:v>
                </c:pt>
                <c:pt idx="28">
                  <c:v>0.1429</c:v>
                </c:pt>
                <c:pt idx="29">
                  <c:v>9.8900000000000002E-2</c:v>
                </c:pt>
                <c:pt idx="30">
                  <c:v>0.1167</c:v>
                </c:pt>
                <c:pt idx="31">
                  <c:v>9.11E-2</c:v>
                </c:pt>
                <c:pt idx="32">
                  <c:v>8.6300000000000002E-2</c:v>
                </c:pt>
                <c:pt idx="33">
                  <c:v>0.151</c:v>
                </c:pt>
                <c:pt idx="34">
                  <c:v>1E-4</c:v>
                </c:pt>
                <c:pt idx="35">
                  <c:v>0.14000000000000001</c:v>
                </c:pt>
                <c:pt idx="36">
                  <c:v>0.14699999999999999</c:v>
                </c:pt>
                <c:pt idx="37">
                  <c:v>0.10199999999999999</c:v>
                </c:pt>
                <c:pt idx="38">
                  <c:v>0.113</c:v>
                </c:pt>
                <c:pt idx="39">
                  <c:v>0.12</c:v>
                </c:pt>
                <c:pt idx="40">
                  <c:v>0.153</c:v>
                </c:pt>
                <c:pt idx="41">
                  <c:v>0.112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61-479E-ADFC-5FB449C2F304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Bor!$E$57:$E$58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Bor!$F$57:$F$58</c:f>
              <c:numCache>
                <c:formatCode>0.000</c:formatCode>
                <c:ptCount val="2"/>
                <c:pt idx="0">
                  <c:v>0.15667621002047435</c:v>
                </c:pt>
                <c:pt idx="1">
                  <c:v>0.15667621002047435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61-479E-ADFC-5FB449C2F304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Bor!$E$57:$E$58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Bor!$J$57:$J$58</c:f>
              <c:numCache>
                <c:formatCode>0.000</c:formatCode>
                <c:ptCount val="2"/>
                <c:pt idx="0">
                  <c:v>0.16465816482869741</c:v>
                </c:pt>
                <c:pt idx="1">
                  <c:v>0.16465816482869741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61-479E-ADFC-5FB449C2F304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Bor!$G$122:$G$123</c:f>
              <c:numCache>
                <c:formatCode>d/m/yyyy;@</c:formatCode>
                <c:ptCount val="2"/>
                <c:pt idx="0">
                  <c:v>1E-4</c:v>
                </c:pt>
                <c:pt idx="1">
                  <c:v>42681</c:v>
                </c:pt>
              </c:numCache>
            </c:numRef>
          </c:xVal>
          <c:yVal>
            <c:numRef>
              <c:f>Bor!$I$122:$I$123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61-479E-ADFC-5FB449C2F304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Bor!$G$122:$G$123</c:f>
              <c:numCache>
                <c:formatCode>d/m/yyyy;@</c:formatCode>
                <c:ptCount val="2"/>
                <c:pt idx="0">
                  <c:v>1E-4</c:v>
                </c:pt>
                <c:pt idx="1">
                  <c:v>42681</c:v>
                </c:pt>
              </c:numCache>
            </c:numRef>
          </c:xVal>
          <c:yVal>
            <c:numRef>
              <c:f>Bor!$J$122:$J$123</c:f>
              <c:numCache>
                <c:formatCode>General</c:formatCode>
                <c:ptCount val="2"/>
                <c:pt idx="0">
                  <c:v>-0.59891985596624497</c:v>
                </c:pt>
                <c:pt idx="1">
                  <c:v>0.11727608370003639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61-479E-ADFC-5FB449C2F304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Bor!$E$57:$E$58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Bor!$G$57:$G$58</c:f>
              <c:numCache>
                <c:formatCode>0.000</c:formatCode>
                <c:ptCount val="2"/>
                <c:pt idx="0">
                  <c:v>1.3042837598573248E-2</c:v>
                </c:pt>
                <c:pt idx="1">
                  <c:v>1.3042837598573248E-2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61-479E-ADFC-5FB449C2F304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Bor!$E$57:$E$58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Bor!$H$57:$H$58</c:f>
              <c:numCache>
                <c:formatCode>0.000</c:formatCode>
                <c:ptCount val="2"/>
                <c:pt idx="0">
                  <c:v>0.17010118978162053</c:v>
                </c:pt>
                <c:pt idx="1">
                  <c:v>0.17010118978162053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561-479E-ADFC-5FB449C2F304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Bor!$E$57:$E$58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Bor!$K$57:$K$58</c:f>
              <c:numCache>
                <c:formatCode>0.000</c:formatCode>
                <c:ptCount val="2"/>
                <c:pt idx="0">
                  <c:v>0.19459409780172959</c:v>
                </c:pt>
                <c:pt idx="1">
                  <c:v>0.19459409780172959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61-479E-ADFC-5FB449C2F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900928"/>
        <c:axId val="153902464"/>
      </c:scatterChart>
      <c:valAx>
        <c:axId val="153900928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902464"/>
        <c:crossesAt val="0"/>
        <c:crossBetween val="midCat"/>
        <c:majorUnit val="1461"/>
        <c:minorUnit val="365.25"/>
      </c:valAx>
      <c:valAx>
        <c:axId val="153902464"/>
        <c:scaling>
          <c:orientation val="minMax"/>
          <c:max val="0.30000000000000004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900928"/>
        <c:crossesAt val="0"/>
        <c:crossBetween val="midCat"/>
        <c:majorUnit val="0.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KW!$F$63:$F$113</c:f>
              <c:numCache>
                <c:formatCode>General</c:formatCode>
                <c:ptCount val="51"/>
                <c:pt idx="0">
                  <c:v>-119.15123687871147</c:v>
                </c:pt>
                <c:pt idx="1">
                  <c:v>-109.63034869388559</c:v>
                </c:pt>
                <c:pt idx="2">
                  <c:v>-100.10946050905969</c:v>
                </c:pt>
                <c:pt idx="3">
                  <c:v>-90.588572324233866</c:v>
                </c:pt>
                <c:pt idx="4">
                  <c:v>-81.067684139407959</c:v>
                </c:pt>
                <c:pt idx="5">
                  <c:v>-71.54679595458208</c:v>
                </c:pt>
                <c:pt idx="6">
                  <c:v>-62.025907769756202</c:v>
                </c:pt>
                <c:pt idx="7">
                  <c:v>-52.505019584930324</c:v>
                </c:pt>
                <c:pt idx="8">
                  <c:v>-42.984131400104445</c:v>
                </c:pt>
                <c:pt idx="9">
                  <c:v>-33.463243215278567</c:v>
                </c:pt>
                <c:pt idx="10">
                  <c:v>-23.942355030452688</c:v>
                </c:pt>
                <c:pt idx="11">
                  <c:v>-14.42146684562681</c:v>
                </c:pt>
                <c:pt idx="12">
                  <c:v>-4.9005786608009316</c:v>
                </c:pt>
                <c:pt idx="13">
                  <c:v>4.6203095240249468</c:v>
                </c:pt>
                <c:pt idx="14">
                  <c:v>14.141197708850811</c:v>
                </c:pt>
                <c:pt idx="15">
                  <c:v>23.662085893676704</c:v>
                </c:pt>
                <c:pt idx="16">
                  <c:v>33.182974078502582</c:v>
                </c:pt>
                <c:pt idx="17">
                  <c:v>42.70386226332846</c:v>
                </c:pt>
                <c:pt idx="18">
                  <c:v>52.224750448154339</c:v>
                </c:pt>
                <c:pt idx="19">
                  <c:v>61.745638632980217</c:v>
                </c:pt>
                <c:pt idx="20">
                  <c:v>71.266526817806096</c:v>
                </c:pt>
                <c:pt idx="21">
                  <c:v>80.787415002631974</c:v>
                </c:pt>
                <c:pt idx="22">
                  <c:v>90.308303187457852</c:v>
                </c:pt>
                <c:pt idx="23">
                  <c:v>99.829191372283731</c:v>
                </c:pt>
                <c:pt idx="24">
                  <c:v>109.35007955710961</c:v>
                </c:pt>
                <c:pt idx="25">
                  <c:v>118.87096774193549</c:v>
                </c:pt>
                <c:pt idx="26">
                  <c:v>128.39185592676137</c:v>
                </c:pt>
                <c:pt idx="27">
                  <c:v>137.91274411158724</c:v>
                </c:pt>
                <c:pt idx="28">
                  <c:v>147.43363229641312</c:v>
                </c:pt>
                <c:pt idx="29">
                  <c:v>156.95452048123948</c:v>
                </c:pt>
                <c:pt idx="30">
                  <c:v>166.47540866606536</c:v>
                </c:pt>
                <c:pt idx="31">
                  <c:v>175.99629685089124</c:v>
                </c:pt>
                <c:pt idx="32">
                  <c:v>185.51718503571709</c:v>
                </c:pt>
                <c:pt idx="33">
                  <c:v>195.038073220543</c:v>
                </c:pt>
                <c:pt idx="34">
                  <c:v>204.55896140536888</c:v>
                </c:pt>
                <c:pt idx="35">
                  <c:v>214.07984959019475</c:v>
                </c:pt>
                <c:pt idx="36">
                  <c:v>223.6007377750206</c:v>
                </c:pt>
                <c:pt idx="37">
                  <c:v>233.12162595984651</c:v>
                </c:pt>
                <c:pt idx="38">
                  <c:v>242.64251414467236</c:v>
                </c:pt>
                <c:pt idx="39">
                  <c:v>252.16340232949827</c:v>
                </c:pt>
                <c:pt idx="40">
                  <c:v>261.68429051432418</c:v>
                </c:pt>
                <c:pt idx="41">
                  <c:v>271.20517869915</c:v>
                </c:pt>
                <c:pt idx="42">
                  <c:v>280.72606688397593</c:v>
                </c:pt>
                <c:pt idx="43">
                  <c:v>290.24695506880175</c:v>
                </c:pt>
                <c:pt idx="44">
                  <c:v>299.76784325362769</c:v>
                </c:pt>
                <c:pt idx="45">
                  <c:v>309.28873143845351</c:v>
                </c:pt>
                <c:pt idx="46">
                  <c:v>318.80961962327945</c:v>
                </c:pt>
                <c:pt idx="47">
                  <c:v>328.33050780810527</c:v>
                </c:pt>
                <c:pt idx="48">
                  <c:v>337.8513959929312</c:v>
                </c:pt>
                <c:pt idx="49">
                  <c:v>347.37228417775702</c:v>
                </c:pt>
                <c:pt idx="50">
                  <c:v>356.89317236258245</c:v>
                </c:pt>
              </c:numCache>
            </c:numRef>
          </c:xVal>
          <c:yVal>
            <c:numRef>
              <c:f>KW!$G$63:$G$113</c:f>
              <c:numCache>
                <c:formatCode>General</c:formatCode>
                <c:ptCount val="51"/>
                <c:pt idx="0">
                  <c:v>3.1230689529655208E-8</c:v>
                </c:pt>
                <c:pt idx="1">
                  <c:v>8.3212805657049545E-8</c:v>
                </c:pt>
                <c:pt idx="2">
                  <c:v>2.13023236249092E-7</c:v>
                </c:pt>
                <c:pt idx="3">
                  <c:v>5.2395261462698695E-7</c:v>
                </c:pt>
                <c:pt idx="4">
                  <c:v>1.238184224250877E-6</c:v>
                </c:pt>
                <c:pt idx="5">
                  <c:v>2.8112970799968051E-6</c:v>
                </c:pt>
                <c:pt idx="6">
                  <c:v>6.1327666100891093E-6</c:v>
                </c:pt>
                <c:pt idx="7">
                  <c:v>1.2853883340190969E-5</c:v>
                </c:pt>
                <c:pt idx="8">
                  <c:v>2.5884542377819243E-5</c:v>
                </c:pt>
                <c:pt idx="9">
                  <c:v>5.0081214172109122E-5</c:v>
                </c:pt>
                <c:pt idx="10">
                  <c:v>9.309737339424618E-5</c:v>
                </c:pt>
                <c:pt idx="11">
                  <c:v>1.6627548668401317E-4</c:v>
                </c:pt>
                <c:pt idx="12">
                  <c:v>2.853298761628934E-4</c:v>
                </c:pt>
                <c:pt idx="13">
                  <c:v>4.70429435995996E-4</c:v>
                </c:pt>
                <c:pt idx="14">
                  <c:v>7.4519503133688354E-4</c:v>
                </c:pt>
                <c:pt idx="15">
                  <c:v>1.1341581891327604E-3</c:v>
                </c:pt>
                <c:pt idx="16">
                  <c:v>1.6584620419494618E-3</c:v>
                </c:pt>
                <c:pt idx="17">
                  <c:v>2.330052249878074E-3</c:v>
                </c:pt>
                <c:pt idx="18">
                  <c:v>3.1452415516102011E-3</c:v>
                </c:pt>
                <c:pt idx="19">
                  <c:v>4.079158398114604E-3</c:v>
                </c:pt>
                <c:pt idx="20">
                  <c:v>5.0829443602707029E-3</c:v>
                </c:pt>
                <c:pt idx="21">
                  <c:v>6.0853892438981665E-3</c:v>
                </c:pt>
                <c:pt idx="22">
                  <c:v>6.999863803103655E-3</c:v>
                </c:pt>
                <c:pt idx="23">
                  <c:v>7.7360459056805605E-3</c:v>
                </c:pt>
                <c:pt idx="24">
                  <c:v>8.2144162684042159E-3</c:v>
                </c:pt>
                <c:pt idx="25">
                  <c:v>8.3803584845635638E-3</c:v>
                </c:pt>
                <c:pt idx="26">
                  <c:v>8.2144162684042159E-3</c:v>
                </c:pt>
                <c:pt idx="27">
                  <c:v>7.7360459056805605E-3</c:v>
                </c:pt>
                <c:pt idx="28">
                  <c:v>6.999863803103655E-3</c:v>
                </c:pt>
                <c:pt idx="29">
                  <c:v>6.0853892438981188E-3</c:v>
                </c:pt>
                <c:pt idx="30">
                  <c:v>5.0829443602706508E-3</c:v>
                </c:pt>
                <c:pt idx="31">
                  <c:v>4.0791583981145546E-3</c:v>
                </c:pt>
                <c:pt idx="32">
                  <c:v>3.145241551610159E-3</c:v>
                </c:pt>
                <c:pt idx="33">
                  <c:v>2.3300522498780367E-3</c:v>
                </c:pt>
                <c:pt idx="34">
                  <c:v>1.6584620419494312E-3</c:v>
                </c:pt>
                <c:pt idx="35">
                  <c:v>1.1341581891327369E-3</c:v>
                </c:pt>
                <c:pt idx="36">
                  <c:v>7.4519503133686825E-4</c:v>
                </c:pt>
                <c:pt idx="37">
                  <c:v>4.7042943599598451E-4</c:v>
                </c:pt>
                <c:pt idx="38">
                  <c:v>2.8532987616288651E-4</c:v>
                </c:pt>
                <c:pt idx="39">
                  <c:v>1.6627548668400843E-4</c:v>
                </c:pt>
                <c:pt idx="40">
                  <c:v>9.3097373394243185E-5</c:v>
                </c:pt>
                <c:pt idx="41">
                  <c:v>5.0081214172107651E-5</c:v>
                </c:pt>
                <c:pt idx="42">
                  <c:v>2.5884542377818298E-5</c:v>
                </c:pt>
                <c:pt idx="43">
                  <c:v>1.2853883340190533E-5</c:v>
                </c:pt>
                <c:pt idx="44">
                  <c:v>6.1327666100888535E-6</c:v>
                </c:pt>
                <c:pt idx="45">
                  <c:v>2.811297079996695E-6</c:v>
                </c:pt>
                <c:pt idx="46">
                  <c:v>1.2381842242508219E-6</c:v>
                </c:pt>
                <c:pt idx="47">
                  <c:v>5.2395261462696652E-7</c:v>
                </c:pt>
                <c:pt idx="48">
                  <c:v>2.1302323624908142E-7</c:v>
                </c:pt>
                <c:pt idx="49">
                  <c:v>8.3212805657045707E-8</c:v>
                </c:pt>
                <c:pt idx="50">
                  <c:v>3.1230689529655208E-8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99-439B-AD50-A24CD5423E98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KW!$I$63:$I$113</c:f>
              <c:numCache>
                <c:formatCode>General</c:formatCode>
                <c:ptCount val="51"/>
                <c:pt idx="0">
                  <c:v>19.082609471965487</c:v>
                </c:pt>
                <c:pt idx="1">
                  <c:v>20.554746550747559</c:v>
                </c:pt>
                <c:pt idx="2">
                  <c:v>22.129678664537355</c:v>
                </c:pt>
                <c:pt idx="3">
                  <c:v>23.814583690568281</c:v>
                </c:pt>
                <c:pt idx="4">
                  <c:v>25.61714071628856</c:v>
                </c:pt>
                <c:pt idx="5">
                  <c:v>27.545565037407474</c:v>
                </c:pt>
                <c:pt idx="6">
                  <c:v>29.608645599753039</c:v>
                </c:pt>
                <c:pt idx="7">
                  <c:v>31.815785055585302</c:v>
                </c:pt>
                <c:pt idx="8">
                  <c:v>34.177042616925064</c:v>
                </c:pt>
                <c:pt idx="9">
                  <c:v>36.703179901205409</c:v>
                </c:pt>
                <c:pt idx="10">
                  <c:v>39.405709978191453</c:v>
                </c:pt>
                <c:pt idx="11">
                  <c:v>42.296949841702968</c:v>
                </c:pt>
                <c:pt idx="12">
                  <c:v>45.390076545284636</c:v>
                </c:pt>
                <c:pt idx="13">
                  <c:v>48.69918725766599</c:v>
                </c:pt>
                <c:pt idx="14">
                  <c:v>52.239363511718999</c:v>
                </c:pt>
                <c:pt idx="15">
                  <c:v>56.026739939732721</c:v>
                </c:pt>
                <c:pt idx="16">
                  <c:v>60.078577808271497</c:v>
                </c:pt>
                <c:pt idx="17">
                  <c:v>64.413343687757973</c:v>
                </c:pt>
                <c:pt idx="18">
                  <c:v>69.050793615322831</c:v>
                </c:pt>
                <c:pt idx="19">
                  <c:v>74.012063134501489</c:v>
                </c:pt>
                <c:pt idx="20">
                  <c:v>79.319763622138979</c:v>
                </c:pt>
                <c:pt idx="21">
                  <c:v>84.998085341522597</c:v>
                </c:pt>
                <c:pt idx="22">
                  <c:v>91.072907691412695</c:v>
                </c:pt>
                <c:pt idx="23">
                  <c:v>97.57191715344284</c:v>
                </c:pt>
                <c:pt idx="24">
                  <c:v>104.52473347544115</c:v>
                </c:pt>
                <c:pt idx="25">
                  <c:v>111.96304466576626</c:v>
                </c:pt>
                <c:pt idx="26">
                  <c:v>119.92075141390208</c:v>
                </c:pt>
                <c:pt idx="27">
                  <c:v>128.4341215955223</c:v>
                </c:pt>
                <c:pt idx="28">
                  <c:v>137.54195556619237</c:v>
                </c:pt>
                <c:pt idx="29">
                  <c:v>147.28576299704781</c:v>
                </c:pt>
                <c:pt idx="30">
                  <c:v>157.70995205839071</c:v>
                </c:pt>
                <c:pt idx="31">
                  <c:v>168.86203181342788</c:v>
                </c:pt>
                <c:pt idx="32">
                  <c:v>180.79282874456982</c:v>
                </c:pt>
                <c:pt idx="33">
                  <c:v>193.55671839912935</c:v>
                </c:pt>
                <c:pt idx="34">
                  <c:v>207.21187321016535</c:v>
                </c:pt>
                <c:pt idx="35">
                  <c:v>221.82052762192973</c:v>
                </c:pt>
                <c:pt idx="36">
                  <c:v>237.44926172825342</c:v>
                </c:pt>
                <c:pt idx="37">
                  <c:v>254.16930471657008</c:v>
                </c:pt>
                <c:pt idx="38">
                  <c:v>272.05685950055215</c:v>
                </c:pt>
                <c:pt idx="39">
                  <c:v>291.19345002089597</c:v>
                </c:pt>
                <c:pt idx="40">
                  <c:v>311.66629279710668</c:v>
                </c:pt>
                <c:pt idx="41">
                  <c:v>333.56869442365854</c:v>
                </c:pt>
                <c:pt idx="42">
                  <c:v>357.00047682215393</c:v>
                </c:pt>
                <c:pt idx="43">
                  <c:v>382.06843218759883</c:v>
                </c:pt>
                <c:pt idx="44">
                  <c:v>408.88680970224641</c:v>
                </c:pt>
                <c:pt idx="45">
                  <c:v>437.57783623525171</c:v>
                </c:pt>
                <c:pt idx="46">
                  <c:v>468.27227340125825</c:v>
                </c:pt>
                <c:pt idx="47">
                  <c:v>501.11001351676543</c:v>
                </c:pt>
                <c:pt idx="48">
                  <c:v>536.2407171703835</c:v>
                </c:pt>
                <c:pt idx="49">
                  <c:v>573.82449531276234</c:v>
                </c:pt>
                <c:pt idx="50">
                  <c:v>614.03263897486738</c:v>
                </c:pt>
              </c:numCache>
            </c:numRef>
          </c:xVal>
          <c:yVal>
            <c:numRef>
              <c:f>KW!$J$63:$J$113</c:f>
              <c:numCache>
                <c:formatCode>General</c:formatCode>
                <c:ptCount val="51"/>
                <c:pt idx="0">
                  <c:v>2.0895367682651188E-7</c:v>
                </c:pt>
                <c:pt idx="1">
                  <c:v>5.2040926837133435E-7</c:v>
                </c:pt>
                <c:pt idx="2">
                  <c:v>1.245283542216638E-6</c:v>
                </c:pt>
                <c:pt idx="3">
                  <c:v>2.8629891027946495E-6</c:v>
                </c:pt>
                <c:pt idx="4">
                  <c:v>6.3241092271291783E-6</c:v>
                </c:pt>
                <c:pt idx="5">
                  <c:v>1.3421691437868499E-5</c:v>
                </c:pt>
                <c:pt idx="6">
                  <c:v>2.7368018765309737E-5</c:v>
                </c:pt>
                <c:pt idx="7">
                  <c:v>5.3617639253659357E-5</c:v>
                </c:pt>
                <c:pt idx="8">
                  <c:v>1.0092534404414212E-4</c:v>
                </c:pt>
                <c:pt idx="9">
                  <c:v>1.8252443359852944E-4</c:v>
                </c:pt>
                <c:pt idx="10">
                  <c:v>3.1715385969564337E-4</c:v>
                </c:pt>
                <c:pt idx="11">
                  <c:v>5.2947713882922328E-4</c:v>
                </c:pt>
                <c:pt idx="12">
                  <c:v>8.4928342136576134E-4</c:v>
                </c:pt>
                <c:pt idx="13">
                  <c:v>1.3088392194946334E-3</c:v>
                </c:pt>
                <c:pt idx="14">
                  <c:v>1.9379750195243465E-3</c:v>
                </c:pt>
                <c:pt idx="15">
                  <c:v>2.7570095466033498E-3</c:v>
                </c:pt>
                <c:pt idx="16">
                  <c:v>3.7683964489322462E-3</c:v>
                </c:pt>
                <c:pt idx="17">
                  <c:v>4.948836690866187E-3</c:v>
                </c:pt>
                <c:pt idx="18">
                  <c:v>6.2442154561345624E-3</c:v>
                </c:pt>
                <c:pt idx="19">
                  <c:v>7.5697381723568834E-3</c:v>
                </c:pt>
                <c:pt idx="20">
                  <c:v>8.8168216723479038E-3</c:v>
                </c:pt>
                <c:pt idx="21">
                  <c:v>9.8666898430489897E-3</c:v>
                </c:pt>
                <c:pt idx="22">
                  <c:v>1.0608625458945285E-2</c:v>
                </c:pt>
                <c:pt idx="23">
                  <c:v>1.0959102219854388E-2</c:v>
                </c:pt>
                <c:pt idx="24">
                  <c:v>1.087724872673137E-2</c:v>
                </c:pt>
                <c:pt idx="25">
                  <c:v>1.0372689123454444E-2</c:v>
                </c:pt>
                <c:pt idx="26">
                  <c:v>9.5036817615038079E-3</c:v>
                </c:pt>
                <c:pt idx="27">
                  <c:v>8.3660533376023697E-3</c:v>
                </c:pt>
                <c:pt idx="28">
                  <c:v>7.0758333152699656E-3</c:v>
                </c:pt>
                <c:pt idx="29">
                  <c:v>5.7499329324583884E-3</c:v>
                </c:pt>
                <c:pt idx="30">
                  <c:v>4.4892747449560575E-3</c:v>
                </c:pt>
                <c:pt idx="31">
                  <c:v>3.3675791500426878E-3</c:v>
                </c:pt>
                <c:pt idx="32">
                  <c:v>2.4270999399181774E-3</c:v>
                </c:pt>
                <c:pt idx="33">
                  <c:v>1.6806826924466369E-3</c:v>
                </c:pt>
                <c:pt idx="34">
                  <c:v>1.1181807637296341E-3</c:v>
                </c:pt>
                <c:pt idx="35">
                  <c:v>7.1477034600840106E-4</c:v>
                </c:pt>
                <c:pt idx="36">
                  <c:v>4.3898457152021555E-4</c:v>
                </c:pt>
                <c:pt idx="37">
                  <c:v>2.590360494312638E-4</c:v>
                </c:pt>
                <c:pt idx="38">
                  <c:v>1.4685859868828589E-4</c:v>
                </c:pt>
                <c:pt idx="39">
                  <c:v>7.9995723845039201E-5</c:v>
                </c:pt>
                <c:pt idx="40">
                  <c:v>4.1866088370278836E-5</c:v>
                </c:pt>
                <c:pt idx="41">
                  <c:v>2.1051653826237301E-5</c:v>
                </c:pt>
                <c:pt idx="42">
                  <c:v>1.0170405635481611E-5</c:v>
                </c:pt>
                <c:pt idx="43">
                  <c:v>4.7208320503257813E-6</c:v>
                </c:pt>
                <c:pt idx="44">
                  <c:v>2.1053632910409453E-6</c:v>
                </c:pt>
                <c:pt idx="45">
                  <c:v>9.0211886178291502E-7</c:v>
                </c:pt>
                <c:pt idx="46">
                  <c:v>3.7138871311210776E-7</c:v>
                </c:pt>
                <c:pt idx="47">
                  <c:v>1.4690002149363121E-7</c:v>
                </c:pt>
                <c:pt idx="48">
                  <c:v>5.5826864749087123E-8</c:v>
                </c:pt>
                <c:pt idx="49">
                  <c:v>2.0384160879434995E-8</c:v>
                </c:pt>
                <c:pt idx="50">
                  <c:v>7.1510639007625037E-9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99-439B-AD50-A24CD5423E98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KW!$T$46:$T$97</c:f>
              <c:numCache>
                <c:formatCode>0.0</c:formatCode>
                <c:ptCount val="52"/>
                <c:pt idx="0">
                  <c:v>-0.126</c:v>
                </c:pt>
                <c:pt idx="1">
                  <c:v>0.126</c:v>
                </c:pt>
                <c:pt idx="2">
                  <c:v>12.474</c:v>
                </c:pt>
                <c:pt idx="3">
                  <c:v>12.725999999999999</c:v>
                </c:pt>
                <c:pt idx="4">
                  <c:v>25.073999999999998</c:v>
                </c:pt>
                <c:pt idx="5">
                  <c:v>25.326000000000001</c:v>
                </c:pt>
                <c:pt idx="6">
                  <c:v>37.673999999999999</c:v>
                </c:pt>
                <c:pt idx="7">
                  <c:v>37.925999999999995</c:v>
                </c:pt>
                <c:pt idx="8">
                  <c:v>50.274000000000001</c:v>
                </c:pt>
                <c:pt idx="9">
                  <c:v>50.525999999999996</c:v>
                </c:pt>
                <c:pt idx="10">
                  <c:v>62.874000000000002</c:v>
                </c:pt>
                <c:pt idx="11">
                  <c:v>63.125999999999998</c:v>
                </c:pt>
                <c:pt idx="12">
                  <c:v>75.47399999999999</c:v>
                </c:pt>
                <c:pt idx="13">
                  <c:v>75.725999999999999</c:v>
                </c:pt>
                <c:pt idx="14">
                  <c:v>88.073999999999998</c:v>
                </c:pt>
                <c:pt idx="15">
                  <c:v>88.326000000000008</c:v>
                </c:pt>
                <c:pt idx="16">
                  <c:v>100.67399999999999</c:v>
                </c:pt>
                <c:pt idx="17">
                  <c:v>100.926</c:v>
                </c:pt>
                <c:pt idx="18">
                  <c:v>113.27399999999999</c:v>
                </c:pt>
                <c:pt idx="19">
                  <c:v>113.526</c:v>
                </c:pt>
                <c:pt idx="20">
                  <c:v>125.874</c:v>
                </c:pt>
                <c:pt idx="21">
                  <c:v>126.126</c:v>
                </c:pt>
                <c:pt idx="22">
                  <c:v>138.47399999999999</c:v>
                </c:pt>
                <c:pt idx="23">
                  <c:v>138.726</c:v>
                </c:pt>
                <c:pt idx="24">
                  <c:v>151.07399999999998</c:v>
                </c:pt>
                <c:pt idx="25">
                  <c:v>151.32599999999999</c:v>
                </c:pt>
                <c:pt idx="26">
                  <c:v>163.67399999999998</c:v>
                </c:pt>
                <c:pt idx="27">
                  <c:v>163.92599999999999</c:v>
                </c:pt>
                <c:pt idx="28">
                  <c:v>176.274</c:v>
                </c:pt>
                <c:pt idx="29">
                  <c:v>176.52600000000001</c:v>
                </c:pt>
                <c:pt idx="30">
                  <c:v>188.874</c:v>
                </c:pt>
                <c:pt idx="31">
                  <c:v>189.126</c:v>
                </c:pt>
                <c:pt idx="32">
                  <c:v>201.47399999999999</c:v>
                </c:pt>
                <c:pt idx="33">
                  <c:v>201.726</c:v>
                </c:pt>
                <c:pt idx="34">
                  <c:v>214.07399999999998</c:v>
                </c:pt>
                <c:pt idx="35">
                  <c:v>214.32599999999999</c:v>
                </c:pt>
                <c:pt idx="36">
                  <c:v>226.67399999999998</c:v>
                </c:pt>
                <c:pt idx="37">
                  <c:v>226.92599999999999</c:v>
                </c:pt>
                <c:pt idx="38">
                  <c:v>239.274</c:v>
                </c:pt>
                <c:pt idx="39">
                  <c:v>239.52600000000001</c:v>
                </c:pt>
                <c:pt idx="40">
                  <c:v>251.874</c:v>
                </c:pt>
                <c:pt idx="41">
                  <c:v>252.126</c:v>
                </c:pt>
                <c:pt idx="42">
                  <c:v>264.47399999999999</c:v>
                </c:pt>
                <c:pt idx="43">
                  <c:v>264.72599999999994</c:v>
                </c:pt>
                <c:pt idx="44">
                  <c:v>277.07400000000001</c:v>
                </c:pt>
                <c:pt idx="45">
                  <c:v>277.32599999999996</c:v>
                </c:pt>
                <c:pt idx="46">
                  <c:v>289.67400000000004</c:v>
                </c:pt>
                <c:pt idx="47">
                  <c:v>289.92599999999999</c:v>
                </c:pt>
                <c:pt idx="48">
                  <c:v>302.274</c:v>
                </c:pt>
                <c:pt idx="49">
                  <c:v>302.52599999999995</c:v>
                </c:pt>
                <c:pt idx="50">
                  <c:v>314.87400000000002</c:v>
                </c:pt>
                <c:pt idx="51">
                  <c:v>315.12599999999998</c:v>
                </c:pt>
              </c:numCache>
            </c:numRef>
          </c:xVal>
          <c:yVal>
            <c:numRef>
              <c:f>KW!$U$46:$U$97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2.5601638504864311E-3</c:v>
                </c:pt>
                <c:pt idx="10">
                  <c:v>2.5601638504864311E-3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2.5601638504864311E-3</c:v>
                </c:pt>
                <c:pt idx="16">
                  <c:v>2.5601638504864311E-3</c:v>
                </c:pt>
                <c:pt idx="17">
                  <c:v>4.8643113159242191E-2</c:v>
                </c:pt>
                <c:pt idx="18">
                  <c:v>4.8643113159242191E-2</c:v>
                </c:pt>
                <c:pt idx="19">
                  <c:v>2.5601638504864311E-3</c:v>
                </c:pt>
                <c:pt idx="20">
                  <c:v>2.5601638504864311E-3</c:v>
                </c:pt>
                <c:pt idx="21">
                  <c:v>5.1203277009728623E-3</c:v>
                </c:pt>
                <c:pt idx="22">
                  <c:v>5.1203277009728623E-3</c:v>
                </c:pt>
                <c:pt idx="23">
                  <c:v>2.5601638504864311E-3</c:v>
                </c:pt>
                <c:pt idx="24">
                  <c:v>2.5601638504864311E-3</c:v>
                </c:pt>
                <c:pt idx="25">
                  <c:v>2.5601638504864311E-3</c:v>
                </c:pt>
                <c:pt idx="26">
                  <c:v>2.5601638504864311E-3</c:v>
                </c:pt>
                <c:pt idx="27">
                  <c:v>2.5601638504864311E-3</c:v>
                </c:pt>
                <c:pt idx="28">
                  <c:v>2.5601638504864311E-3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7.6804915514592943E-3</c:v>
                </c:pt>
                <c:pt idx="34">
                  <c:v>7.6804915514592943E-3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2.5601638504864311E-3</c:v>
                </c:pt>
                <c:pt idx="50">
                  <c:v>2.5601638504864311E-3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99-439B-AD50-A24CD5423E98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KW!$U$3:$V$3</c:f>
              <c:numCache>
                <c:formatCode>0.000</c:formatCode>
                <c:ptCount val="2"/>
                <c:pt idx="0">
                  <c:v>212.17395745739373</c:v>
                </c:pt>
                <c:pt idx="1">
                  <c:v>212.17395745739373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99-439B-AD50-A24CD5423E98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KW!$U$4:$V$4</c:f>
              <c:numCache>
                <c:formatCode>0.000</c:formatCode>
                <c:ptCount val="2"/>
                <c:pt idx="0">
                  <c:v>196.53946367224148</c:v>
                </c:pt>
                <c:pt idx="1">
                  <c:v>196.53946367224148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99-439B-AD50-A24CD5423E98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KW!$U$5:$V$5</c:f>
              <c:numCache>
                <c:formatCode>0.000</c:formatCode>
                <c:ptCount val="2"/>
                <c:pt idx="0">
                  <c:v>229.61545768068669</c:v>
                </c:pt>
                <c:pt idx="1">
                  <c:v>229.61545768068669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99-439B-AD50-A24CD5423E98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KW!$U$6:$V$6</c:f>
              <c:numCache>
                <c:formatCode>0.000</c:formatCode>
                <c:ptCount val="2"/>
                <c:pt idx="0">
                  <c:v>225.91755748664374</c:v>
                </c:pt>
                <c:pt idx="1">
                  <c:v>225.91755748664374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99-439B-AD50-A24CD5423E98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KW!$U$7:$V$7</c:f>
              <c:numCache>
                <c:formatCode>0.000</c:formatCode>
                <c:ptCount val="2"/>
                <c:pt idx="0">
                  <c:v>25.567978026477249</c:v>
                </c:pt>
                <c:pt idx="1">
                  <c:v>25.567978026477249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99-439B-AD50-A24CD5423E98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KW!$U$8:$V$8</c:f>
              <c:numCache>
                <c:formatCode>0.000</c:formatCode>
                <c:ptCount val="2"/>
                <c:pt idx="0">
                  <c:v>4.0744154981994125</c:v>
                </c:pt>
                <c:pt idx="1">
                  <c:v>4.0744154981994125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99-439B-AD50-A24CD5423E98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KW!$U$11:$V$11</c:f>
              <c:numCache>
                <c:formatCode>0.000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xVal>
          <c:yVal>
            <c:numRef>
              <c:f>KW!$U$2:$V$2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399-439B-AD50-A24CD542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395776"/>
        <c:axId val="154397312"/>
      </c:scatterChart>
      <c:valAx>
        <c:axId val="154395776"/>
        <c:scaling>
          <c:orientation val="minMax"/>
          <c:max val="3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397312"/>
        <c:crosses val="autoZero"/>
        <c:crossBetween val="midCat"/>
        <c:majorUnit val="50"/>
        <c:minorUnit val="10"/>
      </c:valAx>
      <c:valAx>
        <c:axId val="154397312"/>
        <c:scaling>
          <c:orientation val="minMax"/>
          <c:max val="2.0000000000000004E-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395776"/>
        <c:crosses val="autoZero"/>
        <c:crossBetween val="midCat"/>
        <c:majorUnit val="5.000000000000001E-3"/>
        <c:minorUnit val="1.0000000000000002E-3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KW!$M$3:$M$252</c:f>
              <c:numCache>
                <c:formatCode>d/m/yyyy;@</c:formatCode>
                <c:ptCount val="250"/>
                <c:pt idx="0">
                  <c:v>35926</c:v>
                </c:pt>
                <c:pt idx="1">
                  <c:v>36117</c:v>
                </c:pt>
                <c:pt idx="2">
                  <c:v>36306</c:v>
                </c:pt>
                <c:pt idx="3">
                  <c:v>36506</c:v>
                </c:pt>
                <c:pt idx="4">
                  <c:v>36872</c:v>
                </c:pt>
                <c:pt idx="5">
                  <c:v>37029</c:v>
                </c:pt>
                <c:pt idx="6">
                  <c:v>37190</c:v>
                </c:pt>
                <c:pt idx="7">
                  <c:v>37383</c:v>
                </c:pt>
                <c:pt idx="8">
                  <c:v>37573</c:v>
                </c:pt>
                <c:pt idx="9">
                  <c:v>37762</c:v>
                </c:pt>
                <c:pt idx="10">
                  <c:v>37888</c:v>
                </c:pt>
                <c:pt idx="11">
                  <c:v>38142</c:v>
                </c:pt>
                <c:pt idx="12">
                  <c:v>38285</c:v>
                </c:pt>
                <c:pt idx="13">
                  <c:v>39197</c:v>
                </c:pt>
                <c:pt idx="14">
                  <c:v>39374</c:v>
                </c:pt>
                <c:pt idx="15">
                  <c:v>39566</c:v>
                </c:pt>
                <c:pt idx="16">
                  <c:v>39780</c:v>
                </c:pt>
                <c:pt idx="17">
                  <c:v>39926</c:v>
                </c:pt>
                <c:pt idx="18">
                  <c:v>40098</c:v>
                </c:pt>
                <c:pt idx="19">
                  <c:v>40288</c:v>
                </c:pt>
                <c:pt idx="20">
                  <c:v>40478</c:v>
                </c:pt>
                <c:pt idx="21">
                  <c:v>40665</c:v>
                </c:pt>
                <c:pt idx="22">
                  <c:v>40834</c:v>
                </c:pt>
                <c:pt idx="23">
                  <c:v>41025</c:v>
                </c:pt>
                <c:pt idx="24">
                  <c:v>41204</c:v>
                </c:pt>
                <c:pt idx="25">
                  <c:v>41400</c:v>
                </c:pt>
                <c:pt idx="26">
                  <c:v>41575</c:v>
                </c:pt>
                <c:pt idx="27">
                  <c:v>41873</c:v>
                </c:pt>
                <c:pt idx="28">
                  <c:v>41936</c:v>
                </c:pt>
                <c:pt idx="29">
                  <c:v>42108</c:v>
                </c:pt>
                <c:pt idx="30">
                  <c:v>42299</c:v>
                </c:pt>
              </c:numCache>
            </c:numRef>
          </c:xVal>
          <c:yVal>
            <c:numRef>
              <c:f>KW!$N$3:$N$252</c:f>
              <c:numCache>
                <c:formatCode>General</c:formatCode>
                <c:ptCount val="250"/>
                <c:pt idx="0">
                  <c:v>100</c:v>
                </c:pt>
                <c:pt idx="1">
                  <c:v>100</c:v>
                </c:pt>
                <c:pt idx="2">
                  <c:v>120</c:v>
                </c:pt>
                <c:pt idx="3">
                  <c:v>100</c:v>
                </c:pt>
                <c:pt idx="4">
                  <c:v>100</c:v>
                </c:pt>
                <c:pt idx="5">
                  <c:v>160</c:v>
                </c:pt>
                <c:pt idx="6">
                  <c:v>100</c:v>
                </c:pt>
                <c:pt idx="7">
                  <c:v>200</c:v>
                </c:pt>
                <c:pt idx="8">
                  <c:v>100</c:v>
                </c:pt>
                <c:pt idx="9">
                  <c:v>90</c:v>
                </c:pt>
                <c:pt idx="10">
                  <c:v>200</c:v>
                </c:pt>
                <c:pt idx="11">
                  <c:v>100</c:v>
                </c:pt>
                <c:pt idx="12">
                  <c:v>140</c:v>
                </c:pt>
                <c:pt idx="13">
                  <c:v>100</c:v>
                </c:pt>
                <c:pt idx="14">
                  <c:v>100</c:v>
                </c:pt>
                <c:pt idx="15">
                  <c:v>110</c:v>
                </c:pt>
                <c:pt idx="16">
                  <c:v>100</c:v>
                </c:pt>
                <c:pt idx="17">
                  <c:v>85</c:v>
                </c:pt>
                <c:pt idx="18">
                  <c:v>100</c:v>
                </c:pt>
                <c:pt idx="19">
                  <c:v>120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300</c:v>
                </c:pt>
                <c:pt idx="24">
                  <c:v>100</c:v>
                </c:pt>
                <c:pt idx="25">
                  <c:v>40</c:v>
                </c:pt>
                <c:pt idx="26">
                  <c:v>130</c:v>
                </c:pt>
                <c:pt idx="27">
                  <c:v>100</c:v>
                </c:pt>
                <c:pt idx="28">
                  <c:v>190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BD-4AC7-903F-C34D10804077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KW!$E$57:$E$58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KW!$F$57:$F$58</c:f>
              <c:numCache>
                <c:formatCode>0.000</c:formatCode>
                <c:ptCount val="2"/>
                <c:pt idx="0">
                  <c:v>212.17395745739373</c:v>
                </c:pt>
                <c:pt idx="1">
                  <c:v>212.17395745739373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BD-4AC7-903F-C34D10804077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KW!$E$57:$E$58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KW!$J$57:$J$58</c:f>
              <c:numCache>
                <c:formatCode>0.000</c:formatCode>
                <c:ptCount val="2"/>
                <c:pt idx="0">
                  <c:v>196.53946367224148</c:v>
                </c:pt>
                <c:pt idx="1">
                  <c:v>196.53946367224148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BD-4AC7-903F-C34D10804077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KW!$G$122:$G$123</c:f>
              <c:numCache>
                <c:formatCode>d/m/yyyy;@</c:formatCode>
                <c:ptCount val="2"/>
                <c:pt idx="0">
                  <c:v>40</c:v>
                </c:pt>
                <c:pt idx="1">
                  <c:v>42299</c:v>
                </c:pt>
              </c:numCache>
            </c:numRef>
          </c:xVal>
          <c:yVal>
            <c:numRef>
              <c:f>KW!$I$122:$I$123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BD-4AC7-903F-C34D10804077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KW!$G$122:$G$123</c:f>
              <c:numCache>
                <c:formatCode>d/m/yyyy;@</c:formatCode>
                <c:ptCount val="2"/>
                <c:pt idx="0">
                  <c:v>40</c:v>
                </c:pt>
                <c:pt idx="1">
                  <c:v>42299</c:v>
                </c:pt>
              </c:numCache>
            </c:numRef>
          </c:xVal>
          <c:yVal>
            <c:numRef>
              <c:f>KW!$J$122:$J$123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BD-4AC7-903F-C34D10804077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KW!$E$57:$E$58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KW!$G$57:$G$58</c:f>
              <c:numCache>
                <c:formatCode>0.000</c:formatCode>
                <c:ptCount val="2"/>
                <c:pt idx="0">
                  <c:v>25.567978026477249</c:v>
                </c:pt>
                <c:pt idx="1">
                  <c:v>25.567978026477249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BD-4AC7-903F-C34D10804077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KW!$E$57:$E$58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KW!$H$57:$H$58</c:f>
              <c:numCache>
                <c:formatCode>0.000</c:formatCode>
                <c:ptCount val="2"/>
                <c:pt idx="0">
                  <c:v>229.61545768068669</c:v>
                </c:pt>
                <c:pt idx="1">
                  <c:v>229.61545768068669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BD-4AC7-903F-C34D10804077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KW!$E$57:$E$58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KW!$K$57:$K$58</c:f>
              <c:numCache>
                <c:formatCode>0.000</c:formatCode>
                <c:ptCount val="2"/>
                <c:pt idx="0">
                  <c:v>225.91755748664374</c:v>
                </c:pt>
                <c:pt idx="1">
                  <c:v>225.91755748664374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BD-4AC7-903F-C34D10804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09376"/>
        <c:axId val="154723456"/>
      </c:scatterChart>
      <c:valAx>
        <c:axId val="154709376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4723456"/>
        <c:crossesAt val="0"/>
        <c:crossBetween val="midCat"/>
        <c:majorUnit val="1461"/>
        <c:minorUnit val="365.25"/>
      </c:valAx>
      <c:valAx>
        <c:axId val="154723456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4709376"/>
        <c:crossesAt val="0"/>
        <c:crossBetween val="midCat"/>
        <c:majorUnit val="5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PAK!$F$63:$F$113</c:f>
              <c:numCache>
                <c:formatCode>General</c:formatCode>
                <c:ptCount val="51"/>
                <c:pt idx="0">
                  <c:v>-0.53471648298743768</c:v>
                </c:pt>
                <c:pt idx="1">
                  <c:v>-0.5078278236679401</c:v>
                </c:pt>
                <c:pt idx="2">
                  <c:v>-0.48093916434844264</c:v>
                </c:pt>
                <c:pt idx="3">
                  <c:v>-0.45405050502894517</c:v>
                </c:pt>
                <c:pt idx="4">
                  <c:v>-0.42716184570944771</c:v>
                </c:pt>
                <c:pt idx="5">
                  <c:v>-0.40027318638995013</c:v>
                </c:pt>
                <c:pt idx="6">
                  <c:v>-0.37338452707045255</c:v>
                </c:pt>
                <c:pt idx="7">
                  <c:v>-0.34649586775095509</c:v>
                </c:pt>
                <c:pt idx="8">
                  <c:v>-0.31960720843145762</c:v>
                </c:pt>
                <c:pt idx="9">
                  <c:v>-0.29271854911196016</c:v>
                </c:pt>
                <c:pt idx="10">
                  <c:v>-0.26582988979246258</c:v>
                </c:pt>
                <c:pt idx="11">
                  <c:v>-0.23894123047296503</c:v>
                </c:pt>
                <c:pt idx="12">
                  <c:v>-0.21205257115346757</c:v>
                </c:pt>
                <c:pt idx="13">
                  <c:v>-0.18516391183397005</c:v>
                </c:pt>
                <c:pt idx="14">
                  <c:v>-0.15827525251447258</c:v>
                </c:pt>
                <c:pt idx="15">
                  <c:v>-0.13138659319497506</c:v>
                </c:pt>
                <c:pt idx="16">
                  <c:v>-0.10449793387547757</c:v>
                </c:pt>
                <c:pt idx="17">
                  <c:v>-7.7609274555980073E-2</c:v>
                </c:pt>
                <c:pt idx="18">
                  <c:v>-5.0720615236482525E-2</c:v>
                </c:pt>
                <c:pt idx="19">
                  <c:v>-2.3831955916985031E-2</c:v>
                </c:pt>
                <c:pt idx="20">
                  <c:v>3.0567034025124618E-3</c:v>
                </c:pt>
                <c:pt idx="21">
                  <c:v>2.9945362722009955E-2</c:v>
                </c:pt>
                <c:pt idx="22">
                  <c:v>5.6834022041507476E-2</c:v>
                </c:pt>
                <c:pt idx="23">
                  <c:v>8.3722681361004969E-2</c:v>
                </c:pt>
                <c:pt idx="24">
                  <c:v>0.11061134068050248</c:v>
                </c:pt>
                <c:pt idx="25">
                  <c:v>0.13749999999999998</c:v>
                </c:pt>
                <c:pt idx="26">
                  <c:v>0.16438865931949748</c:v>
                </c:pt>
                <c:pt idx="27">
                  <c:v>0.191277318638995</c:v>
                </c:pt>
                <c:pt idx="28">
                  <c:v>0.21816597795849249</c:v>
                </c:pt>
                <c:pt idx="29">
                  <c:v>0.24505463727799134</c:v>
                </c:pt>
                <c:pt idx="30">
                  <c:v>0.27194329659748884</c:v>
                </c:pt>
                <c:pt idx="31">
                  <c:v>0.29883195591698636</c:v>
                </c:pt>
                <c:pt idx="32">
                  <c:v>0.32572061523648388</c:v>
                </c:pt>
                <c:pt idx="33">
                  <c:v>0.35260927455598134</c:v>
                </c:pt>
                <c:pt idx="34">
                  <c:v>0.37949793387547887</c:v>
                </c:pt>
                <c:pt idx="35">
                  <c:v>0.40638659319497639</c:v>
                </c:pt>
                <c:pt idx="36">
                  <c:v>0.43327525251447385</c:v>
                </c:pt>
                <c:pt idx="37">
                  <c:v>0.46016391183397143</c:v>
                </c:pt>
                <c:pt idx="38">
                  <c:v>0.48705257115346889</c:v>
                </c:pt>
                <c:pt idx="39">
                  <c:v>0.51394123047296636</c:v>
                </c:pt>
                <c:pt idx="40">
                  <c:v>0.54082988979246394</c:v>
                </c:pt>
                <c:pt idx="41">
                  <c:v>0.5677185491119614</c:v>
                </c:pt>
                <c:pt idx="42">
                  <c:v>0.59460720843145887</c:v>
                </c:pt>
                <c:pt idx="43">
                  <c:v>0.62149586775095633</c:v>
                </c:pt>
                <c:pt idx="44">
                  <c:v>0.64838452707045391</c:v>
                </c:pt>
                <c:pt idx="45">
                  <c:v>0.67527318638995137</c:v>
                </c:pt>
                <c:pt idx="46">
                  <c:v>0.70216184570944884</c:v>
                </c:pt>
                <c:pt idx="47">
                  <c:v>0.72905050502894642</c:v>
                </c:pt>
                <c:pt idx="48">
                  <c:v>0.75593916434844399</c:v>
                </c:pt>
                <c:pt idx="49">
                  <c:v>0.78282782366794135</c:v>
                </c:pt>
                <c:pt idx="50">
                  <c:v>0.80971648298743759</c:v>
                </c:pt>
              </c:numCache>
            </c:numRef>
          </c:xVal>
          <c:yVal>
            <c:numRef>
              <c:f>PAK!$G$63:$G$113</c:f>
              <c:numCache>
                <c:formatCode>General</c:formatCode>
                <c:ptCount val="51"/>
                <c:pt idx="0">
                  <c:v>1.1058338737299913E-5</c:v>
                </c:pt>
                <c:pt idx="1">
                  <c:v>2.9464459673968629E-5</c:v>
                </c:pt>
                <c:pt idx="2">
                  <c:v>7.542846926647195E-5</c:v>
                </c:pt>
                <c:pt idx="3">
                  <c:v>1.8552409767762015E-4</c:v>
                </c:pt>
                <c:pt idx="4">
                  <c:v>4.3842325536698701E-4</c:v>
                </c:pt>
                <c:pt idx="5">
                  <c:v>9.9543993008117298E-4</c:v>
                </c:pt>
                <c:pt idx="6">
                  <c:v>2.1715245994415517E-3</c:v>
                </c:pt>
                <c:pt idx="7">
                  <c:v>4.5513755285676947E-3</c:v>
                </c:pt>
                <c:pt idx="8">
                  <c:v>9.1653447933680594E-3</c:v>
                </c:pt>
                <c:pt idx="9">
                  <c:v>1.7733038848360062E-2</c:v>
                </c:pt>
                <c:pt idx="10">
                  <c:v>3.2964443182367111E-2</c:v>
                </c:pt>
                <c:pt idx="11">
                  <c:v>5.8875762371984948E-2</c:v>
                </c:pt>
                <c:pt idx="12">
                  <c:v>0.10103121224669118</c:v>
                </c:pt>
                <c:pt idx="13">
                  <c:v>0.16657230863573907</c:v>
                </c:pt>
                <c:pt idx="14">
                  <c:v>0.26386286073034582</c:v>
                </c:pt>
                <c:pt idx="15">
                  <c:v>0.40158912998714025</c:v>
                </c:pt>
                <c:pt idx="16">
                  <c:v>0.58723759606449255</c:v>
                </c:pt>
                <c:pt idx="17">
                  <c:v>0.82503804567916583</c:v>
                </c:pt>
                <c:pt idx="18">
                  <c:v>1.113684872545315</c:v>
                </c:pt>
                <c:pt idx="19">
                  <c:v>1.4443714182685543</c:v>
                </c:pt>
                <c:pt idx="20">
                  <c:v>1.7997976146299386</c:v>
                </c:pt>
                <c:pt idx="21">
                  <c:v>2.1547489543401785</c:v>
                </c:pt>
                <c:pt idx="22">
                  <c:v>2.4785512652925155</c:v>
                </c:pt>
                <c:pt idx="23">
                  <c:v>2.7392227773608875</c:v>
                </c:pt>
                <c:pt idx="24">
                  <c:v>2.9086068541312735</c:v>
                </c:pt>
                <c:pt idx="25">
                  <c:v>2.9673646101957316</c:v>
                </c:pt>
                <c:pt idx="26">
                  <c:v>2.9086068541312735</c:v>
                </c:pt>
                <c:pt idx="27">
                  <c:v>2.7392227773608875</c:v>
                </c:pt>
                <c:pt idx="28">
                  <c:v>2.4785512652925155</c:v>
                </c:pt>
                <c:pt idx="29">
                  <c:v>2.1547489543401612</c:v>
                </c:pt>
                <c:pt idx="30">
                  <c:v>1.7997976146299202</c:v>
                </c:pt>
                <c:pt idx="31">
                  <c:v>1.4443714182685372</c:v>
                </c:pt>
                <c:pt idx="32">
                  <c:v>1.113684872545299</c:v>
                </c:pt>
                <c:pt idx="33">
                  <c:v>0.82503804567915295</c:v>
                </c:pt>
                <c:pt idx="34">
                  <c:v>0.587237596064482</c:v>
                </c:pt>
                <c:pt idx="35">
                  <c:v>0.40158912998713198</c:v>
                </c:pt>
                <c:pt idx="36">
                  <c:v>0.26386286073034015</c:v>
                </c:pt>
                <c:pt idx="37">
                  <c:v>0.16657230863573488</c:v>
                </c:pt>
                <c:pt idx="38">
                  <c:v>0.10103121224668847</c:v>
                </c:pt>
                <c:pt idx="39">
                  <c:v>5.8875762371983276E-2</c:v>
                </c:pt>
                <c:pt idx="40">
                  <c:v>3.2964443182366056E-2</c:v>
                </c:pt>
                <c:pt idx="41">
                  <c:v>1.7733038848359497E-2</c:v>
                </c:pt>
                <c:pt idx="42">
                  <c:v>9.1653447933677402E-3</c:v>
                </c:pt>
                <c:pt idx="43">
                  <c:v>4.5513755285675282E-3</c:v>
                </c:pt>
                <c:pt idx="44">
                  <c:v>2.1715245994414645E-3</c:v>
                </c:pt>
                <c:pt idx="45">
                  <c:v>9.9543993008113394E-4</c:v>
                </c:pt>
                <c:pt idx="46">
                  <c:v>4.3842325536696912E-4</c:v>
                </c:pt>
                <c:pt idx="47">
                  <c:v>1.8552409767761224E-4</c:v>
                </c:pt>
                <c:pt idx="48">
                  <c:v>7.5428469266468196E-5</c:v>
                </c:pt>
                <c:pt idx="49">
                  <c:v>2.9464459673967274E-5</c:v>
                </c:pt>
                <c:pt idx="50">
                  <c:v>1.1058338737299913E-5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A4-453F-BA94-17AC98017B8F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PAK!$I$63:$I$113</c:f>
              <c:numCache>
                <c:formatCode>General</c:formatCode>
                <c:ptCount val="51"/>
                <c:pt idx="0">
                  <c:v>-4.2540678600316129E-2</c:v>
                </c:pt>
                <c:pt idx="1">
                  <c:v>-4.1552058017125068E-2</c:v>
                </c:pt>
                <c:pt idx="2">
                  <c:v>-4.0432410681614378E-2</c:v>
                </c:pt>
                <c:pt idx="3">
                  <c:v>-3.9164370973327284E-2</c:v>
                </c:pt>
                <c:pt idx="4">
                  <c:v>-3.7728271720646592E-2</c:v>
                </c:pt>
                <c:pt idx="5">
                  <c:v>-3.6101839164890154E-2</c:v>
                </c:pt>
                <c:pt idx="6">
                  <c:v>-3.4259847496496354E-2</c:v>
                </c:pt>
                <c:pt idx="7">
                  <c:v>-3.2173727605189689E-2</c:v>
                </c:pt>
                <c:pt idx="8">
                  <c:v>-2.9811123975880101E-2</c:v>
                </c:pt>
                <c:pt idx="9">
                  <c:v>-2.7135392857794319E-2</c:v>
                </c:pt>
                <c:pt idx="10">
                  <c:v>-2.4105033923492392E-2</c:v>
                </c:pt>
                <c:pt idx="11">
                  <c:v>-2.0673046602855627E-2</c:v>
                </c:pt>
                <c:pt idx="12">
                  <c:v>-1.678620110884993E-2</c:v>
                </c:pt>
                <c:pt idx="13">
                  <c:v>-1.2384212848744816E-2</c:v>
                </c:pt>
                <c:pt idx="14">
                  <c:v>-7.3988074159878625E-3</c:v>
                </c:pt>
                <c:pt idx="15">
                  <c:v>-1.7526616608491419E-3</c:v>
                </c:pt>
                <c:pt idx="16">
                  <c:v>4.6417955840536984E-3</c:v>
                </c:pt>
                <c:pt idx="17">
                  <c:v>1.1883741723980414E-2</c:v>
                </c:pt>
                <c:pt idx="18">
                  <c:v>2.0085498633905047E-2</c:v>
                </c:pt>
                <c:pt idx="19">
                  <c:v>2.9374274759790084E-2</c:v>
                </c:pt>
                <c:pt idx="20">
                  <c:v>3.9894138109117808E-2</c:v>
                </c:pt>
                <c:pt idx="21">
                  <c:v>5.1808250731568875E-2</c:v>
                </c:pt>
                <c:pt idx="22">
                  <c:v>6.5301399346424108E-2</c:v>
                </c:pt>
                <c:pt idx="23">
                  <c:v>8.0582861366472872E-2</c:v>
                </c:pt>
                <c:pt idx="24">
                  <c:v>9.7889650770177875E-2</c:v>
                </c:pt>
                <c:pt idx="25">
                  <c:v>0.1174901941652554</c:v>
                </c:pt>
                <c:pt idx="26">
                  <c:v>0.13968849405905737</c:v>
                </c:pt>
                <c:pt idx="27">
                  <c:v>0.16482884390767027</c:v>
                </c:pt>
                <c:pt idx="28">
                  <c:v>0.19330116807368103</c:v>
                </c:pt>
                <c:pt idx="29">
                  <c:v>0.22554706951483272</c:v>
                </c:pt>
                <c:pt idx="30">
                  <c:v>0.2620666790026186</c:v>
                </c:pt>
                <c:pt idx="31">
                  <c:v>0.3034264121015488</c:v>
                </c:pt>
                <c:pt idx="32">
                  <c:v>0.3502677542190451</c:v>
                </c:pt>
                <c:pt idx="33">
                  <c:v>0.40331720998125092</c:v>
                </c:pt>
                <c:pt idx="34">
                  <c:v>0.46339757124859055</c:v>
                </c:pt>
                <c:pt idx="35">
                  <c:v>0.53144067853689725</c:v>
                </c:pt>
                <c:pt idx="36">
                  <c:v>0.60850187377249976</c:v>
                </c:pt>
                <c:pt idx="37">
                  <c:v>0.69577636854208558</c:v>
                </c:pt>
                <c:pt idx="38">
                  <c:v>0.7946177817072867</c:v>
                </c:pt>
                <c:pt idx="39">
                  <c:v>0.90655913390058129</c:v>
                </c:pt>
                <c:pt idx="40">
                  <c:v>1.0333366245250766</c:v>
                </c:pt>
                <c:pt idx="41">
                  <c:v>1.1769165600371185</c:v>
                </c:pt>
                <c:pt idx="42">
                  <c:v>1.3395258511667463</c:v>
                </c:pt>
                <c:pt idx="43">
                  <c:v>1.5236865520848926</c:v>
                </c:pt>
                <c:pt idx="44">
                  <c:v>1.7322549772164355</c:v>
                </c:pt>
                <c:pt idx="45">
                  <c:v>1.9684660023970288</c:v>
                </c:pt>
                <c:pt idx="46">
                  <c:v>2.2359832374803208</c:v>
                </c:pt>
                <c:pt idx="47">
                  <c:v>2.5389558485677775</c:v>
                </c:pt>
                <c:pt idx="48">
                  <c:v>2.8820829111683297</c:v>
                </c:pt>
                <c:pt idx="49">
                  <c:v>3.2706862923990387</c:v>
                </c:pt>
                <c:pt idx="50">
                  <c:v>3.7107931926225661</c:v>
                </c:pt>
              </c:numCache>
            </c:numRef>
          </c:xVal>
          <c:yVal>
            <c:numRef>
              <c:f>PAK!$J$63:$J$113</c:f>
              <c:numCache>
                <c:formatCode>General</c:formatCode>
                <c:ptCount val="51"/>
                <c:pt idx="0">
                  <c:v>3.2028415476725554E-4</c:v>
                </c:pt>
                <c:pt idx="1">
                  <c:v>7.5351593884558066E-4</c:v>
                </c:pt>
                <c:pt idx="2">
                  <c:v>1.7032470819505444E-3</c:v>
                </c:pt>
                <c:pt idx="3">
                  <c:v>3.6990575202700995E-3</c:v>
                </c:pt>
                <c:pt idx="4">
                  <c:v>7.7184969420599344E-3</c:v>
                </c:pt>
                <c:pt idx="5">
                  <c:v>1.5474000585452102E-2</c:v>
                </c:pt>
                <c:pt idx="6">
                  <c:v>2.9805794456761601E-2</c:v>
                </c:pt>
                <c:pt idx="7">
                  <c:v>5.5160350380049121E-2</c:v>
                </c:pt>
                <c:pt idx="8">
                  <c:v>9.8080246994192266E-2</c:v>
                </c:pt>
                <c:pt idx="9">
                  <c:v>0.16755766756501508</c:v>
                </c:pt>
                <c:pt idx="10">
                  <c:v>0.27502696887336697</c:v>
                </c:pt>
                <c:pt idx="11">
                  <c:v>0.43372502354326342</c:v>
                </c:pt>
                <c:pt idx="12">
                  <c:v>0.65717630595926391</c:v>
                </c:pt>
                <c:pt idx="13">
                  <c:v>0.95670387973300541</c:v>
                </c:pt>
                <c:pt idx="14">
                  <c:v>1.3381395109283643</c:v>
                </c:pt>
                <c:pt idx="15">
                  <c:v>1.7982640988169771</c:v>
                </c:pt>
                <c:pt idx="16">
                  <c:v>2.3218479424533585</c:v>
                </c:pt>
                <c:pt idx="17">
                  <c:v>2.8803303172017971</c:v>
                </c:pt>
                <c:pt idx="18">
                  <c:v>3.4330413750183517</c:v>
                </c:pt>
                <c:pt idx="19">
                  <c:v>3.9313707328529408</c:v>
                </c:pt>
                <c:pt idx="20">
                  <c:v>4.3255086376933063</c:v>
                </c:pt>
                <c:pt idx="21">
                  <c:v>4.5725513118880627</c:v>
                </c:pt>
                <c:pt idx="22">
                  <c:v>4.6441711101016629</c:v>
                </c:pt>
                <c:pt idx="23">
                  <c:v>4.5319598961027223</c:v>
                </c:pt>
                <c:pt idx="24">
                  <c:v>4.249052766316133</c:v>
                </c:pt>
                <c:pt idx="25">
                  <c:v>3.8275988140709449</c:v>
                </c:pt>
                <c:pt idx="26">
                  <c:v>3.3127519559457768</c:v>
                </c:pt>
                <c:pt idx="27">
                  <c:v>2.7547338619274995</c:v>
                </c:pt>
                <c:pt idx="28">
                  <c:v>2.2008913152311456</c:v>
                </c:pt>
                <c:pt idx="29">
                  <c:v>1.6894516470936418</c:v>
                </c:pt>
                <c:pt idx="30">
                  <c:v>1.2460089366533023</c:v>
                </c:pt>
                <c:pt idx="31">
                  <c:v>0.88292694050947917</c:v>
                </c:pt>
                <c:pt idx="32">
                  <c:v>0.60111366469784067</c:v>
                </c:pt>
                <c:pt idx="33">
                  <c:v>0.3932028467148555</c:v>
                </c:pt>
                <c:pt idx="34">
                  <c:v>0.24711831094222017</c:v>
                </c:pt>
                <c:pt idx="35">
                  <c:v>0.14921807090809419</c:v>
                </c:pt>
                <c:pt idx="36">
                  <c:v>8.6569744566935766E-2</c:v>
                </c:pt>
                <c:pt idx="37">
                  <c:v>4.8254639091296216E-2</c:v>
                </c:pt>
                <c:pt idx="38">
                  <c:v>2.5842839370535432E-2</c:v>
                </c:pt>
                <c:pt idx="39">
                  <c:v>1.3297487945946774E-2</c:v>
                </c:pt>
                <c:pt idx="40">
                  <c:v>6.5739622088586483E-3</c:v>
                </c:pt>
                <c:pt idx="41">
                  <c:v>3.1225760311054413E-3</c:v>
                </c:pt>
                <c:pt idx="42">
                  <c:v>1.4250400201752836E-3</c:v>
                </c:pt>
                <c:pt idx="43">
                  <c:v>6.248407155574722E-4</c:v>
                </c:pt>
                <c:pt idx="44">
                  <c:v>2.6323267783503042E-4</c:v>
                </c:pt>
                <c:pt idx="45">
                  <c:v>1.0654633203818807E-4</c:v>
                </c:pt>
                <c:pt idx="46">
                  <c:v>4.1434817038456575E-5</c:v>
                </c:pt>
                <c:pt idx="47">
                  <c:v>1.5481768474399597E-5</c:v>
                </c:pt>
                <c:pt idx="48">
                  <c:v>5.5578130228750303E-6</c:v>
                </c:pt>
                <c:pt idx="49">
                  <c:v>1.9169708831302419E-6</c:v>
                </c:pt>
                <c:pt idx="50">
                  <c:v>6.3526557491161226E-7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A4-453F-BA94-17AC98017B8F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PAK!$T$46:$T$97</c:f>
              <c:numCache>
                <c:formatCode>0.0</c:formatCode>
                <c:ptCount val="52"/>
                <c:pt idx="0">
                  <c:v>-2.0579999999999999E-4</c:v>
                </c:pt>
                <c:pt idx="1">
                  <c:v>2.0579999999999999E-4</c:v>
                </c:pt>
                <c:pt idx="2">
                  <c:v>2.0374199999999999E-2</c:v>
                </c:pt>
                <c:pt idx="3">
                  <c:v>2.0785799999999997E-2</c:v>
                </c:pt>
                <c:pt idx="4">
                  <c:v>4.0954199999999996E-2</c:v>
                </c:pt>
                <c:pt idx="5">
                  <c:v>4.1365799999999994E-2</c:v>
                </c:pt>
                <c:pt idx="6">
                  <c:v>6.153419999999999E-2</c:v>
                </c:pt>
                <c:pt idx="7">
                  <c:v>6.1945799999999988E-2</c:v>
                </c:pt>
                <c:pt idx="8">
                  <c:v>8.2114199999999984E-2</c:v>
                </c:pt>
                <c:pt idx="9">
                  <c:v>8.2525799999999996E-2</c:v>
                </c:pt>
                <c:pt idx="10">
                  <c:v>0.10269419999999999</c:v>
                </c:pt>
                <c:pt idx="11">
                  <c:v>0.1031058</c:v>
                </c:pt>
                <c:pt idx="12">
                  <c:v>0.12327419999999997</c:v>
                </c:pt>
                <c:pt idx="13">
                  <c:v>0.12368579999999998</c:v>
                </c:pt>
                <c:pt idx="14">
                  <c:v>0.14385419999999999</c:v>
                </c:pt>
                <c:pt idx="15">
                  <c:v>0.1442658</c:v>
                </c:pt>
                <c:pt idx="16">
                  <c:v>0.16443419999999997</c:v>
                </c:pt>
                <c:pt idx="17">
                  <c:v>0.16484579999999999</c:v>
                </c:pt>
                <c:pt idx="18">
                  <c:v>0.18501419999999996</c:v>
                </c:pt>
                <c:pt idx="19">
                  <c:v>0.18542579999999997</c:v>
                </c:pt>
                <c:pt idx="20">
                  <c:v>0.20559419999999998</c:v>
                </c:pt>
                <c:pt idx="21">
                  <c:v>0.20600579999999999</c:v>
                </c:pt>
                <c:pt idx="22">
                  <c:v>0.22617419999999996</c:v>
                </c:pt>
                <c:pt idx="23">
                  <c:v>0.22658579999999998</c:v>
                </c:pt>
                <c:pt idx="24">
                  <c:v>0.24675419999999995</c:v>
                </c:pt>
                <c:pt idx="25">
                  <c:v>0.24716579999999996</c:v>
                </c:pt>
                <c:pt idx="26">
                  <c:v>0.26733419999999997</c:v>
                </c:pt>
                <c:pt idx="27">
                  <c:v>0.26774579999999992</c:v>
                </c:pt>
                <c:pt idx="28">
                  <c:v>0.28791420000000001</c:v>
                </c:pt>
                <c:pt idx="29">
                  <c:v>0.28832579999999997</c:v>
                </c:pt>
                <c:pt idx="30">
                  <c:v>0.3084942</c:v>
                </c:pt>
                <c:pt idx="31">
                  <c:v>0.30890579999999995</c:v>
                </c:pt>
                <c:pt idx="32">
                  <c:v>0.32907419999999998</c:v>
                </c:pt>
                <c:pt idx="33">
                  <c:v>0.32948579999999994</c:v>
                </c:pt>
                <c:pt idx="34">
                  <c:v>0.34965419999999997</c:v>
                </c:pt>
                <c:pt idx="35">
                  <c:v>0.35006579999999993</c:v>
                </c:pt>
                <c:pt idx="36">
                  <c:v>0.37023419999999996</c:v>
                </c:pt>
                <c:pt idx="37">
                  <c:v>0.37064579999999991</c:v>
                </c:pt>
                <c:pt idx="38">
                  <c:v>0.3908142</c:v>
                </c:pt>
                <c:pt idx="39">
                  <c:v>0.39122579999999996</c:v>
                </c:pt>
                <c:pt idx="40">
                  <c:v>0.41139419999999999</c:v>
                </c:pt>
                <c:pt idx="41">
                  <c:v>0.41180579999999994</c:v>
                </c:pt>
                <c:pt idx="42">
                  <c:v>0.43197419999999997</c:v>
                </c:pt>
                <c:pt idx="43">
                  <c:v>0.43238579999999993</c:v>
                </c:pt>
                <c:pt idx="44">
                  <c:v>0.45255419999999996</c:v>
                </c:pt>
                <c:pt idx="45">
                  <c:v>0.45296579999999992</c:v>
                </c:pt>
                <c:pt idx="46">
                  <c:v>0.47313419999999995</c:v>
                </c:pt>
                <c:pt idx="47">
                  <c:v>0.47354579999999991</c:v>
                </c:pt>
                <c:pt idx="48">
                  <c:v>0.49371419999999994</c:v>
                </c:pt>
                <c:pt idx="49">
                  <c:v>0.49412579999999989</c:v>
                </c:pt>
                <c:pt idx="50">
                  <c:v>0.51429419999999992</c:v>
                </c:pt>
                <c:pt idx="51">
                  <c:v>0.51470579999999999</c:v>
                </c:pt>
              </c:numCache>
            </c:numRef>
          </c:xVal>
          <c:yVal>
            <c:numRef>
              <c:f>PAK!$U$46:$U$97</c:f>
              <c:numCache>
                <c:formatCode>0.0000</c:formatCode>
                <c:ptCount val="52"/>
                <c:pt idx="0">
                  <c:v>0</c:v>
                </c:pt>
                <c:pt idx="1">
                  <c:v>8.0984774862325892</c:v>
                </c:pt>
                <c:pt idx="2">
                  <c:v>8.0984774862325892</c:v>
                </c:pt>
                <c:pt idx="3">
                  <c:v>8.0984774862325892</c:v>
                </c:pt>
                <c:pt idx="4">
                  <c:v>8.0984774862325892</c:v>
                </c:pt>
                <c:pt idx="5">
                  <c:v>4.0492387431162946</c:v>
                </c:pt>
                <c:pt idx="6">
                  <c:v>4.0492387431162946</c:v>
                </c:pt>
                <c:pt idx="7">
                  <c:v>4.0492387431162946</c:v>
                </c:pt>
                <c:pt idx="8">
                  <c:v>4.0492387431162946</c:v>
                </c:pt>
                <c:pt idx="9">
                  <c:v>4.0492387431162946</c:v>
                </c:pt>
                <c:pt idx="10">
                  <c:v>4.0492387431162946</c:v>
                </c:pt>
                <c:pt idx="11">
                  <c:v>4.0492387431162946</c:v>
                </c:pt>
                <c:pt idx="12">
                  <c:v>4.0492387431162946</c:v>
                </c:pt>
                <c:pt idx="13">
                  <c:v>4.0492387431162946</c:v>
                </c:pt>
                <c:pt idx="14">
                  <c:v>4.0492387431162946</c:v>
                </c:pt>
                <c:pt idx="15">
                  <c:v>0</c:v>
                </c:pt>
                <c:pt idx="16">
                  <c:v>0</c:v>
                </c:pt>
                <c:pt idx="17">
                  <c:v>4.0492387431162946</c:v>
                </c:pt>
                <c:pt idx="18">
                  <c:v>4.0492387431162946</c:v>
                </c:pt>
                <c:pt idx="19">
                  <c:v>0</c:v>
                </c:pt>
                <c:pt idx="20">
                  <c:v>0</c:v>
                </c:pt>
                <c:pt idx="21">
                  <c:v>8.0984774862325892</c:v>
                </c:pt>
                <c:pt idx="22">
                  <c:v>8.0984774862325892</c:v>
                </c:pt>
                <c:pt idx="23">
                  <c:v>4.0492387431162946</c:v>
                </c:pt>
                <c:pt idx="24">
                  <c:v>4.0492387431162946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4.0492387431162946</c:v>
                </c:pt>
                <c:pt idx="50">
                  <c:v>4.0492387431162946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A4-453F-BA94-17AC98017B8F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PAK!$U$3:$V$3</c:f>
              <c:numCache>
                <c:formatCode>0.000</c:formatCode>
                <c:ptCount val="2"/>
                <c:pt idx="0">
                  <c:v>0.40100401929391183</c:v>
                </c:pt>
                <c:pt idx="1">
                  <c:v>0.40100401929391183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A4-453F-BA94-17AC98017B8F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PAK!$U$4:$V$4</c:f>
              <c:numCache>
                <c:formatCode>0.000</c:formatCode>
                <c:ptCount val="2"/>
                <c:pt idx="0">
                  <c:v>0.41614846587608495</c:v>
                </c:pt>
                <c:pt idx="1">
                  <c:v>0.41614846587608495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A4-453F-BA94-17AC98017B8F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PAK!$U$5:$V$5</c:f>
              <c:numCache>
                <c:formatCode>0.000</c:formatCode>
                <c:ptCount val="2"/>
                <c:pt idx="0">
                  <c:v>0.45026187721860733</c:v>
                </c:pt>
                <c:pt idx="1">
                  <c:v>0.45026187721860733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A4-453F-BA94-17AC98017B8F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PAK!$U$6:$V$6</c:f>
              <c:numCache>
                <c:formatCode>0.000</c:formatCode>
                <c:ptCount val="2"/>
                <c:pt idx="0">
                  <c:v>0.55121732401540813</c:v>
                </c:pt>
                <c:pt idx="1">
                  <c:v>0.55121732401540813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FA4-453F-BA94-17AC98017B8F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PAK!$U$7:$V$7</c:f>
              <c:numCache>
                <c:formatCode>0.000</c:formatCode>
                <c:ptCount val="2"/>
                <c:pt idx="0">
                  <c:v>-0.12600401929391195</c:v>
                </c:pt>
                <c:pt idx="1">
                  <c:v>-0.12600401929391195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A4-453F-BA94-17AC98017B8F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PAK!$U$8:$V$8</c:f>
              <c:numCache>
                <c:formatCode>0.000</c:formatCode>
                <c:ptCount val="2"/>
                <c:pt idx="0">
                  <c:v>-3.0065005216400111</c:v>
                </c:pt>
                <c:pt idx="1">
                  <c:v>-3.0065005216400111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FA4-453F-BA94-17AC98017B8F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PAK!$U$11:$V$11</c:f>
              <c:numCache>
                <c:formatCode>0.000</c:formatCode>
                <c:ptCount val="2"/>
                <c:pt idx="0">
                  <c:v>0.10500000000000001</c:v>
                </c:pt>
                <c:pt idx="1">
                  <c:v>0.10500000000000001</c:v>
                </c:pt>
              </c:numCache>
            </c:numRef>
          </c:xVal>
          <c:yVal>
            <c:numRef>
              <c:f>PAK!$U$2:$V$2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FA4-453F-BA94-17AC98017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606784"/>
        <c:axId val="154755456"/>
      </c:scatterChart>
      <c:valAx>
        <c:axId val="153606784"/>
        <c:scaling>
          <c:orientation val="minMax"/>
          <c:max val="0.5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755456"/>
        <c:crosses val="autoZero"/>
        <c:crossBetween val="midCat"/>
        <c:majorUnit val="0.1"/>
        <c:minorUnit val="5.000000000000001E-2"/>
      </c:valAx>
      <c:valAx>
        <c:axId val="154755456"/>
        <c:scaling>
          <c:orientation val="minMax"/>
          <c:max val="1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3606784"/>
        <c:crosses val="autoZero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PAK!$M$3:$M$252</c:f>
              <c:numCache>
                <c:formatCode>d/m/yyyy;@</c:formatCode>
                <c:ptCount val="250"/>
                <c:pt idx="0">
                  <c:v>36333</c:v>
                </c:pt>
                <c:pt idx="1">
                  <c:v>36550</c:v>
                </c:pt>
                <c:pt idx="2">
                  <c:v>36839</c:v>
                </c:pt>
                <c:pt idx="3">
                  <c:v>37096</c:v>
                </c:pt>
                <c:pt idx="4">
                  <c:v>37193</c:v>
                </c:pt>
                <c:pt idx="5">
                  <c:v>37348</c:v>
                </c:pt>
                <c:pt idx="6">
                  <c:v>37551</c:v>
                </c:pt>
                <c:pt idx="7">
                  <c:v>38848</c:v>
                </c:pt>
                <c:pt idx="8">
                  <c:v>39933</c:v>
                </c:pt>
                <c:pt idx="9">
                  <c:v>40661</c:v>
                </c:pt>
                <c:pt idx="10">
                  <c:v>41387</c:v>
                </c:pt>
                <c:pt idx="11">
                  <c:v>41753</c:v>
                </c:pt>
              </c:numCache>
            </c:numRef>
          </c:xVal>
          <c:yVal>
            <c:numRef>
              <c:f>PAK!$N$3:$N$252</c:f>
              <c:numCache>
                <c:formatCode>General</c:formatCode>
                <c:ptCount val="250"/>
                <c:pt idx="0">
                  <c:v>0.1</c:v>
                </c:pt>
                <c:pt idx="1">
                  <c:v>0.22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</c:v>
                </c:pt>
                <c:pt idx="5">
                  <c:v>0.11</c:v>
                </c:pt>
                <c:pt idx="6">
                  <c:v>0.2</c:v>
                </c:pt>
                <c:pt idx="7">
                  <c:v>0.06</c:v>
                </c:pt>
                <c:pt idx="8">
                  <c:v>0.2</c:v>
                </c:pt>
                <c:pt idx="9">
                  <c:v>0.16</c:v>
                </c:pt>
                <c:pt idx="10">
                  <c:v>0.01</c:v>
                </c:pt>
                <c:pt idx="11">
                  <c:v>0.49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4-4CA6-8E06-A60482630670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PAK!$E$57:$E$58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PAK!$F$57:$F$58</c:f>
              <c:numCache>
                <c:formatCode>0.000</c:formatCode>
                <c:ptCount val="2"/>
                <c:pt idx="0">
                  <c:v>0.40100401929391183</c:v>
                </c:pt>
                <c:pt idx="1">
                  <c:v>0.40100401929391183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34-4CA6-8E06-A60482630670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PAK!$E$57:$E$58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PAK!$J$57:$J$58</c:f>
              <c:numCache>
                <c:formatCode>0.000</c:formatCode>
                <c:ptCount val="2"/>
                <c:pt idx="0">
                  <c:v>0.41614846587608495</c:v>
                </c:pt>
                <c:pt idx="1">
                  <c:v>0.41614846587608495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34-4CA6-8E06-A60482630670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PAK!$G$122:$G$123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41753</c:v>
                </c:pt>
              </c:numCache>
            </c:numRef>
          </c:xVal>
          <c:yVal>
            <c:numRef>
              <c:f>PAK!$I$122:$I$123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34-4CA6-8E06-A60482630670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PAK!$G$122:$G$123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41753</c:v>
                </c:pt>
              </c:numCache>
            </c:numRef>
          </c:xVal>
          <c:yVal>
            <c:numRef>
              <c:f>PAK!$J$122:$J$123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34-4CA6-8E06-A60482630670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PAK!$E$57:$E$58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PAK!$G$57:$G$58</c:f>
              <c:numCache>
                <c:formatCode>0.000</c:formatCode>
                <c:ptCount val="2"/>
                <c:pt idx="0">
                  <c:v>-0.12600401929391195</c:v>
                </c:pt>
                <c:pt idx="1">
                  <c:v>-0.12600401929391195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34-4CA6-8E06-A60482630670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PAK!$E$57:$E$58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PAK!$H$57:$H$58</c:f>
              <c:numCache>
                <c:formatCode>0.000</c:formatCode>
                <c:ptCount val="2"/>
                <c:pt idx="0">
                  <c:v>0.45026187721860733</c:v>
                </c:pt>
                <c:pt idx="1">
                  <c:v>0.45026187721860733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34-4CA6-8E06-A60482630670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PAK!$E$57:$E$58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PAK!$K$57:$K$58</c:f>
              <c:numCache>
                <c:formatCode>0.000</c:formatCode>
                <c:ptCount val="2"/>
                <c:pt idx="0">
                  <c:v>0.55121732401540813</c:v>
                </c:pt>
                <c:pt idx="1">
                  <c:v>0.55121732401540813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34-4CA6-8E06-A6048263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650304"/>
        <c:axId val="153651840"/>
      </c:scatterChart>
      <c:valAx>
        <c:axId val="153650304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651840"/>
        <c:crossesAt val="0"/>
        <c:crossBetween val="midCat"/>
        <c:majorUnit val="1461"/>
        <c:minorUnit val="365.25"/>
      </c:valAx>
      <c:valAx>
        <c:axId val="153651840"/>
        <c:scaling>
          <c:orientation val="minMax"/>
          <c:max val="0.5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650304"/>
        <c:crossesAt val="0"/>
        <c:crossBetween val="midCat"/>
        <c:majorUnit val="0.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AOX!$F$63:$F$113</c:f>
              <c:numCache>
                <c:formatCode>General</c:formatCode>
                <c:ptCount val="51"/>
                <c:pt idx="0">
                  <c:v>-36.686681931566611</c:v>
                </c:pt>
                <c:pt idx="1">
                  <c:v>-34.299214654303945</c:v>
                </c:pt>
                <c:pt idx="2">
                  <c:v>-31.91174737704128</c:v>
                </c:pt>
                <c:pt idx="3">
                  <c:v>-29.524280099778622</c:v>
                </c:pt>
                <c:pt idx="4">
                  <c:v>-27.136812822515957</c:v>
                </c:pt>
                <c:pt idx="5">
                  <c:v>-24.749345545253291</c:v>
                </c:pt>
                <c:pt idx="6">
                  <c:v>-22.361878267990626</c:v>
                </c:pt>
                <c:pt idx="7">
                  <c:v>-19.974410990727961</c:v>
                </c:pt>
                <c:pt idx="8">
                  <c:v>-17.586943713465296</c:v>
                </c:pt>
                <c:pt idx="9">
                  <c:v>-15.199476436202637</c:v>
                </c:pt>
                <c:pt idx="10">
                  <c:v>-12.812009158939972</c:v>
                </c:pt>
                <c:pt idx="11">
                  <c:v>-10.4245418816773</c:v>
                </c:pt>
                <c:pt idx="12">
                  <c:v>-8.0370746044146415</c:v>
                </c:pt>
                <c:pt idx="13">
                  <c:v>-5.6496073271519727</c:v>
                </c:pt>
                <c:pt idx="14">
                  <c:v>-3.2621400498893109</c:v>
                </c:pt>
                <c:pt idx="15">
                  <c:v>-0.87467277262664567</c:v>
                </c:pt>
                <c:pt idx="16">
                  <c:v>1.5127945046360196</c:v>
                </c:pt>
                <c:pt idx="17">
                  <c:v>3.9002617818986813</c:v>
                </c:pt>
                <c:pt idx="18">
                  <c:v>6.2877290591613502</c:v>
                </c:pt>
                <c:pt idx="19">
                  <c:v>8.6751963364240137</c:v>
                </c:pt>
                <c:pt idx="20">
                  <c:v>11.062663613686677</c:v>
                </c:pt>
                <c:pt idx="21">
                  <c:v>13.450130890949341</c:v>
                </c:pt>
                <c:pt idx="22">
                  <c:v>15.837598168212008</c:v>
                </c:pt>
                <c:pt idx="23">
                  <c:v>18.225065445474669</c:v>
                </c:pt>
                <c:pt idx="24">
                  <c:v>20.612532722737335</c:v>
                </c:pt>
                <c:pt idx="25">
                  <c:v>23</c:v>
                </c:pt>
                <c:pt idx="26">
                  <c:v>25.387467277262665</c:v>
                </c:pt>
                <c:pt idx="27">
                  <c:v>27.774934554525331</c:v>
                </c:pt>
                <c:pt idx="28">
                  <c:v>30.162401831787992</c:v>
                </c:pt>
                <c:pt idx="29">
                  <c:v>32.549869109050775</c:v>
                </c:pt>
                <c:pt idx="30">
                  <c:v>34.93733638631344</c:v>
                </c:pt>
                <c:pt idx="31">
                  <c:v>37.324803663576105</c:v>
                </c:pt>
                <c:pt idx="32">
                  <c:v>39.712270940838771</c:v>
                </c:pt>
                <c:pt idx="33">
                  <c:v>42.099738218101436</c:v>
                </c:pt>
                <c:pt idx="34">
                  <c:v>44.487205495364101</c:v>
                </c:pt>
                <c:pt idx="35">
                  <c:v>46.874672772626766</c:v>
                </c:pt>
                <c:pt idx="36">
                  <c:v>49.262140049889425</c:v>
                </c:pt>
                <c:pt idx="37">
                  <c:v>51.649607327152097</c:v>
                </c:pt>
                <c:pt idx="38">
                  <c:v>54.037074604414755</c:v>
                </c:pt>
                <c:pt idx="39">
                  <c:v>56.42454188167742</c:v>
                </c:pt>
                <c:pt idx="40">
                  <c:v>58.812009158940093</c:v>
                </c:pt>
                <c:pt idx="41">
                  <c:v>61.199476436202751</c:v>
                </c:pt>
                <c:pt idx="42">
                  <c:v>63.586943713465416</c:v>
                </c:pt>
                <c:pt idx="43">
                  <c:v>65.974410990728074</c:v>
                </c:pt>
                <c:pt idx="44">
                  <c:v>68.361878267990747</c:v>
                </c:pt>
                <c:pt idx="45">
                  <c:v>70.749345545253405</c:v>
                </c:pt>
                <c:pt idx="46">
                  <c:v>73.136812822516077</c:v>
                </c:pt>
                <c:pt idx="47">
                  <c:v>75.524280099778736</c:v>
                </c:pt>
                <c:pt idx="48">
                  <c:v>77.911747377041408</c:v>
                </c:pt>
                <c:pt idx="49">
                  <c:v>80.299214654304066</c:v>
                </c:pt>
                <c:pt idx="50">
                  <c:v>82.686681931566611</c:v>
                </c:pt>
              </c:numCache>
            </c:numRef>
          </c:xVal>
          <c:yVal>
            <c:numRef>
              <c:f>AOX!$G$63:$G$113</c:f>
              <c:numCache>
                <c:formatCode>General</c:formatCode>
                <c:ptCount val="51"/>
                <c:pt idx="0">
                  <c:v>1.2454365585599871E-7</c:v>
                </c:pt>
                <c:pt idx="1">
                  <c:v>3.3184112123822513E-7</c:v>
                </c:pt>
                <c:pt idx="2">
                  <c:v>8.4950710420740832E-7</c:v>
                </c:pt>
                <c:pt idx="3">
                  <c:v>2.0894503164584662E-6</c:v>
                </c:pt>
                <c:pt idx="4">
                  <c:v>4.9377068593057871E-6</c:v>
                </c:pt>
                <c:pt idx="5">
                  <c:v>1.1211062621836439E-5</c:v>
                </c:pt>
                <c:pt idx="6">
                  <c:v>2.4456622176299746E-5</c:v>
                </c:pt>
                <c:pt idx="7">
                  <c:v>5.1259502983877047E-5</c:v>
                </c:pt>
                <c:pt idx="8">
                  <c:v>1.0322396291737351E-4</c:v>
                </c:pt>
                <c:pt idx="9">
                  <c:v>1.9971693217913351E-4</c:v>
                </c:pt>
                <c:pt idx="10">
                  <c:v>3.7125940565931504E-4</c:v>
                </c:pt>
                <c:pt idx="11">
                  <c:v>6.6308356628496951E-4</c:v>
                </c:pt>
                <c:pt idx="12">
                  <c:v>1.137855949947015E-3</c:v>
                </c:pt>
                <c:pt idx="13">
                  <c:v>1.876007307670345E-3</c:v>
                </c:pt>
                <c:pt idx="14">
                  <c:v>2.9717343717401306E-3</c:v>
                </c:pt>
                <c:pt idx="15">
                  <c:v>4.5228654672989747E-3</c:v>
                </c:pt>
                <c:pt idx="16">
                  <c:v>6.6137164729155118E-3</c:v>
                </c:pt>
                <c:pt idx="17">
                  <c:v>9.291925023293398E-3</c:v>
                </c:pt>
                <c:pt idx="18">
                  <c:v>1.2542786832028455E-2</c:v>
                </c:pt>
                <c:pt idx="19">
                  <c:v>1.6267117613092963E-2</c:v>
                </c:pt>
                <c:pt idx="20">
                  <c:v>2.027007673140328E-2</c:v>
                </c:pt>
                <c:pt idx="21">
                  <c:v>2.4267687814647387E-2</c:v>
                </c:pt>
                <c:pt idx="22">
                  <c:v>2.79144854520357E-2</c:v>
                </c:pt>
                <c:pt idx="23">
                  <c:v>3.0850277514635604E-2</c:v>
                </c:pt>
                <c:pt idx="24">
                  <c:v>3.2757952136106626E-2</c:v>
                </c:pt>
                <c:pt idx="25">
                  <c:v>3.3419706665788314E-2</c:v>
                </c:pt>
                <c:pt idx="26">
                  <c:v>3.2757952136106626E-2</c:v>
                </c:pt>
                <c:pt idx="27">
                  <c:v>3.0850277514635604E-2</c:v>
                </c:pt>
                <c:pt idx="28">
                  <c:v>2.79144854520357E-2</c:v>
                </c:pt>
                <c:pt idx="29">
                  <c:v>2.4267687814647203E-2</c:v>
                </c:pt>
                <c:pt idx="30">
                  <c:v>2.0270076731403082E-2</c:v>
                </c:pt>
                <c:pt idx="31">
                  <c:v>1.6267117613092769E-2</c:v>
                </c:pt>
                <c:pt idx="32">
                  <c:v>1.254278683202828E-2</c:v>
                </c:pt>
                <c:pt idx="33">
                  <c:v>9.2919250232932488E-3</c:v>
                </c:pt>
                <c:pt idx="34">
                  <c:v>6.6137164729153921E-3</c:v>
                </c:pt>
                <c:pt idx="35">
                  <c:v>4.5228654672988819E-3</c:v>
                </c:pt>
                <c:pt idx="36">
                  <c:v>2.9717343717400699E-3</c:v>
                </c:pt>
                <c:pt idx="37">
                  <c:v>1.8760073076702992E-3</c:v>
                </c:pt>
                <c:pt idx="38">
                  <c:v>1.1378559499469862E-3</c:v>
                </c:pt>
                <c:pt idx="39">
                  <c:v>6.6308356628495108E-4</c:v>
                </c:pt>
                <c:pt idx="40">
                  <c:v>3.7125940565930446E-4</c:v>
                </c:pt>
                <c:pt idx="41">
                  <c:v>1.9971693217912727E-4</c:v>
                </c:pt>
                <c:pt idx="42">
                  <c:v>1.0322396291736993E-4</c:v>
                </c:pt>
                <c:pt idx="43">
                  <c:v>5.1259502983875319E-5</c:v>
                </c:pt>
                <c:pt idx="44">
                  <c:v>2.4456622176298811E-5</c:v>
                </c:pt>
                <c:pt idx="45">
                  <c:v>1.1211062621836E-5</c:v>
                </c:pt>
                <c:pt idx="46">
                  <c:v>4.9377068593055855E-6</c:v>
                </c:pt>
                <c:pt idx="47">
                  <c:v>2.0894503164583848E-6</c:v>
                </c:pt>
                <c:pt idx="48">
                  <c:v>8.4950710420736607E-7</c:v>
                </c:pt>
                <c:pt idx="49">
                  <c:v>3.3184112123820978E-7</c:v>
                </c:pt>
                <c:pt idx="50">
                  <c:v>1.2454365585599871E-7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09-4F7A-BB7B-92533FB04CBF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AOX!$I$63:$I$113</c:f>
              <c:numCache>
                <c:formatCode>General</c:formatCode>
                <c:ptCount val="51"/>
                <c:pt idx="0">
                  <c:v>1.8521090061505348</c:v>
                </c:pt>
                <c:pt idx="1">
                  <c:v>2.0391948910117152</c:v>
                </c:pt>
                <c:pt idx="2">
                  <c:v>2.2451787609256426</c:v>
                </c:pt>
                <c:pt idx="3">
                  <c:v>2.4719695457900408</c:v>
                </c:pt>
                <c:pt idx="4">
                  <c:v>2.721669000999337</c:v>
                </c:pt>
                <c:pt idx="5">
                  <c:v>2.9965911852013947</c:v>
                </c:pt>
                <c:pt idx="6">
                  <c:v>3.2992839055482501</c:v>
                </c:pt>
                <c:pt idx="7">
                  <c:v>3.6325523291820456</c:v>
                </c:pt>
                <c:pt idx="8">
                  <c:v>3.9994849797726602</c:v>
                </c:pt>
                <c:pt idx="9">
                  <c:v>4.4034823600267208</c:v>
                </c:pt>
                <c:pt idx="10">
                  <c:v>4.8482884654235425</c:v>
                </c:pt>
                <c:pt idx="11">
                  <c:v>5.3380254812276204</c:v>
                </c:pt>
                <c:pt idx="12">
                  <c:v>5.8772319843279162</c:v>
                </c:pt>
                <c:pt idx="13">
                  <c:v>6.4709050039347611</c:v>
                </c:pt>
                <c:pt idx="14">
                  <c:v>7.1245463309265995</c:v>
                </c:pt>
                <c:pt idx="15">
                  <c:v>7.8442135050127586</c:v>
                </c:pt>
                <c:pt idx="16">
                  <c:v>8.6365759522293537</c:v>
                </c:pt>
                <c:pt idx="17">
                  <c:v>9.5089767930156608</c:v>
                </c:pt>
                <c:pt idx="18">
                  <c:v>10.469500893669579</c:v>
                </c:pt>
                <c:pt idx="19">
                  <c:v>11.527049791840584</c:v>
                </c:pt>
                <c:pt idx="20">
                  <c:v>12.691424190422879</c:v>
                </c:pt>
                <c:pt idx="21">
                  <c:v>13.97341478435062</c:v>
                </c:pt>
                <c:pt idx="22">
                  <c:v>15.384902262021283</c:v>
                </c:pt>
                <c:pt idx="23">
                  <c:v>16.938967408097835</c:v>
                </c:pt>
                <c:pt idx="24">
                  <c:v>18.650012328053862</c:v>
                </c:pt>
                <c:pt idx="25">
                  <c:v>20.533893917894957</c:v>
                </c:pt>
                <c:pt idx="26">
                  <c:v>22.608070815970443</c:v>
                </c:pt>
                <c:pt idx="27">
                  <c:v>24.891765198733076</c:v>
                </c:pt>
                <c:pt idx="28">
                  <c:v>27.406140919868797</c:v>
                </c:pt>
                <c:pt idx="29">
                  <c:v>30.174499643678907</c:v>
                </c:pt>
                <c:pt idx="30">
                  <c:v>33.222496790355606</c:v>
                </c:pt>
                <c:pt idx="31">
                  <c:v>36.578379294398793</c:v>
                </c:pt>
                <c:pt idx="32">
                  <c:v>40.273247379568225</c:v>
                </c:pt>
                <c:pt idx="33">
                  <c:v>44.341342776339566</c:v>
                </c:pt>
                <c:pt idx="34">
                  <c:v>48.82036605288323</c:v>
                </c:pt>
                <c:pt idx="35">
                  <c:v>53.751826000391326</c:v>
                </c:pt>
                <c:pt idx="36">
                  <c:v>59.18142431063788</c:v>
                </c:pt>
                <c:pt idx="37">
                  <c:v>65.159479110723879</c:v>
                </c:pt>
                <c:pt idx="38">
                  <c:v>71.741391280062203</c:v>
                </c:pt>
                <c:pt idx="39">
                  <c:v>78.988157871138142</c:v>
                </c:pt>
                <c:pt idx="40">
                  <c:v>86.966937392107369</c:v>
                </c:pt>
                <c:pt idx="41">
                  <c:v>95.751672189918153</c:v>
                </c:pt>
                <c:pt idx="42">
                  <c:v>105.42377370181613</c:v>
                </c:pt>
                <c:pt idx="43">
                  <c:v>116.07287692571458</c:v>
                </c:pt>
                <c:pt idx="44">
                  <c:v>127.79767110139028</c:v>
                </c:pt>
                <c:pt idx="45">
                  <c:v>140.7068143007395</c:v>
                </c:pt>
                <c:pt idx="46">
                  <c:v>154.91994040294685</c:v>
                </c:pt>
                <c:pt idx="47">
                  <c:v>170.56876778658255</c:v>
                </c:pt>
                <c:pt idx="48">
                  <c:v>187.79832001329447</c:v>
                </c:pt>
                <c:pt idx="49">
                  <c:v>206.76826981563033</c:v>
                </c:pt>
                <c:pt idx="50">
                  <c:v>227.65441884422953</c:v>
                </c:pt>
              </c:numCache>
            </c:numRef>
          </c:xVal>
          <c:yVal>
            <c:numRef>
              <c:f>AOX!$J$63:$J$113</c:f>
              <c:numCache>
                <c:formatCode>General</c:formatCode>
                <c:ptCount val="51"/>
                <c:pt idx="0">
                  <c:v>1.6683288777023415E-6</c:v>
                </c:pt>
                <c:pt idx="1">
                  <c:v>4.0373655101079917E-6</c:v>
                </c:pt>
                <c:pt idx="2">
                  <c:v>9.3873430904705337E-6</c:v>
                </c:pt>
                <c:pt idx="3">
                  <c:v>2.097082585099175E-5</c:v>
                </c:pt>
                <c:pt idx="4">
                  <c:v>4.5010786050175428E-5</c:v>
                </c:pt>
                <c:pt idx="5">
                  <c:v>9.2820922789144721E-5</c:v>
                </c:pt>
                <c:pt idx="6">
                  <c:v>1.8390917100456191E-4</c:v>
                </c:pt>
                <c:pt idx="7">
                  <c:v>3.500975830375694E-4</c:v>
                </c:pt>
                <c:pt idx="8">
                  <c:v>6.4032883476302185E-4</c:v>
                </c:pt>
                <c:pt idx="9">
                  <c:v>1.1252401664405035E-3</c:v>
                </c:pt>
                <c:pt idx="10">
                  <c:v>1.899833818822017E-3</c:v>
                </c:pt>
                <c:pt idx="11">
                  <c:v>3.0818693447320837E-3</c:v>
                </c:pt>
                <c:pt idx="12">
                  <c:v>4.8033148216046631E-3</c:v>
                </c:pt>
                <c:pt idx="13">
                  <c:v>7.1927688274078224E-3</c:v>
                </c:pt>
                <c:pt idx="14">
                  <c:v>1.0348546926028813E-2</c:v>
                </c:pt>
                <c:pt idx="15">
                  <c:v>1.4305098907245916E-2</c:v>
                </c:pt>
                <c:pt idx="16">
                  <c:v>1.8998992758821942E-2</c:v>
                </c:pt>
                <c:pt idx="17">
                  <c:v>2.4243678172612013E-2</c:v>
                </c:pt>
                <c:pt idx="18">
                  <c:v>2.972313842088754E-2</c:v>
                </c:pt>
                <c:pt idx="19">
                  <c:v>3.5012170804588925E-2</c:v>
                </c:pt>
                <c:pt idx="20">
                  <c:v>3.9625215185562571E-2</c:v>
                </c:pt>
                <c:pt idx="21">
                  <c:v>4.3087614410673922E-2</c:v>
                </c:pt>
                <c:pt idx="22">
                  <c:v>4.50154386285447E-2</c:v>
                </c:pt>
                <c:pt idx="23">
                  <c:v>4.5185463719244104E-2</c:v>
                </c:pt>
                <c:pt idx="24">
                  <c:v>4.3577691666983651E-2</c:v>
                </c:pt>
                <c:pt idx="25">
                  <c:v>4.0379219540092159E-2</c:v>
                </c:pt>
                <c:pt idx="26">
                  <c:v>3.5948422730667617E-2</c:v>
                </c:pt>
                <c:pt idx="27">
                  <c:v>3.0748928055091072E-2</c:v>
                </c:pt>
                <c:pt idx="28">
                  <c:v>2.5270180344146503E-2</c:v>
                </c:pt>
                <c:pt idx="29">
                  <c:v>1.9953308765291559E-2</c:v>
                </c:pt>
                <c:pt idx="30">
                  <c:v>1.5137345568282097E-2</c:v>
                </c:pt>
                <c:pt idx="31">
                  <c:v>1.103348600922621E-2</c:v>
                </c:pt>
                <c:pt idx="32">
                  <c:v>7.7268768849768996E-3</c:v>
                </c:pt>
                <c:pt idx="33">
                  <c:v>5.199043571673609E-3</c:v>
                </c:pt>
                <c:pt idx="34">
                  <c:v>3.3610203536711832E-3</c:v>
                </c:pt>
                <c:pt idx="35">
                  <c:v>2.0875988480455058E-3</c:v>
                </c:pt>
                <c:pt idx="36">
                  <c:v>1.2458081719233997E-3</c:v>
                </c:pt>
                <c:pt idx="37">
                  <c:v>7.1430472484789896E-4</c:v>
                </c:pt>
                <c:pt idx="38">
                  <c:v>3.9349941500473902E-4</c:v>
                </c:pt>
                <c:pt idx="39">
                  <c:v>2.0827295553381745E-4</c:v>
                </c:pt>
                <c:pt idx="40">
                  <c:v>1.0591315120695512E-4</c:v>
                </c:pt>
                <c:pt idx="41">
                  <c:v>5.1748184761579869E-5</c:v>
                </c:pt>
                <c:pt idx="42">
                  <c:v>2.4292296384623055E-5</c:v>
                </c:pt>
                <c:pt idx="43">
                  <c:v>1.095645963456209E-5</c:v>
                </c:pt>
                <c:pt idx="44">
                  <c:v>4.7478843921706357E-6</c:v>
                </c:pt>
                <c:pt idx="45">
                  <c:v>1.9767795924773322E-6</c:v>
                </c:pt>
                <c:pt idx="46">
                  <c:v>7.9075980009246909E-7</c:v>
                </c:pt>
                <c:pt idx="47">
                  <c:v>3.0391990002869577E-7</c:v>
                </c:pt>
                <c:pt idx="48">
                  <c:v>1.1222817822200662E-7</c:v>
                </c:pt>
                <c:pt idx="49">
                  <c:v>3.9817401038853352E-8</c:v>
                </c:pt>
                <c:pt idx="50">
                  <c:v>1.357288365102096E-8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09-4F7A-BB7B-92533FB04CBF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AOX!$T$46:$T$97</c:f>
              <c:numCache>
                <c:formatCode>0.0</c:formatCode>
                <c:ptCount val="52"/>
                <c:pt idx="0">
                  <c:v>-2.2680000000000002E-2</c:v>
                </c:pt>
                <c:pt idx="1">
                  <c:v>2.2680000000000002E-2</c:v>
                </c:pt>
                <c:pt idx="2">
                  <c:v>2.2453200000000004</c:v>
                </c:pt>
                <c:pt idx="3">
                  <c:v>2.29068</c:v>
                </c:pt>
                <c:pt idx="4">
                  <c:v>4.5133200000000002</c:v>
                </c:pt>
                <c:pt idx="5">
                  <c:v>4.5586800000000007</c:v>
                </c:pt>
                <c:pt idx="6">
                  <c:v>6.78132</c:v>
                </c:pt>
                <c:pt idx="7">
                  <c:v>6.8266800000000005</c:v>
                </c:pt>
                <c:pt idx="8">
                  <c:v>9.0493200000000016</c:v>
                </c:pt>
                <c:pt idx="9">
                  <c:v>9.0946800000000003</c:v>
                </c:pt>
                <c:pt idx="10">
                  <c:v>11.317320000000002</c:v>
                </c:pt>
                <c:pt idx="11">
                  <c:v>11.362680000000001</c:v>
                </c:pt>
                <c:pt idx="12">
                  <c:v>13.585320000000001</c:v>
                </c:pt>
                <c:pt idx="13">
                  <c:v>13.63068</c:v>
                </c:pt>
                <c:pt idx="14">
                  <c:v>15.853320000000002</c:v>
                </c:pt>
                <c:pt idx="15">
                  <c:v>15.898680000000001</c:v>
                </c:pt>
                <c:pt idx="16">
                  <c:v>18.121320000000001</c:v>
                </c:pt>
                <c:pt idx="17">
                  <c:v>18.166680000000003</c:v>
                </c:pt>
                <c:pt idx="18">
                  <c:v>20.389320000000001</c:v>
                </c:pt>
                <c:pt idx="19">
                  <c:v>20.434680000000004</c:v>
                </c:pt>
                <c:pt idx="20">
                  <c:v>22.657320000000002</c:v>
                </c:pt>
                <c:pt idx="21">
                  <c:v>22.702680000000004</c:v>
                </c:pt>
                <c:pt idx="22">
                  <c:v>24.925320000000003</c:v>
                </c:pt>
                <c:pt idx="23">
                  <c:v>24.970680000000005</c:v>
                </c:pt>
                <c:pt idx="24">
                  <c:v>27.19332</c:v>
                </c:pt>
                <c:pt idx="25">
                  <c:v>27.238680000000002</c:v>
                </c:pt>
                <c:pt idx="26">
                  <c:v>29.461320000000001</c:v>
                </c:pt>
                <c:pt idx="27">
                  <c:v>29.506680000000003</c:v>
                </c:pt>
                <c:pt idx="28">
                  <c:v>31.729320000000001</c:v>
                </c:pt>
                <c:pt idx="29">
                  <c:v>31.774680000000004</c:v>
                </c:pt>
                <c:pt idx="30">
                  <c:v>33.997320000000002</c:v>
                </c:pt>
                <c:pt idx="31">
                  <c:v>34.042680000000004</c:v>
                </c:pt>
                <c:pt idx="32">
                  <c:v>36.265320000000003</c:v>
                </c:pt>
                <c:pt idx="33">
                  <c:v>36.310680000000005</c:v>
                </c:pt>
                <c:pt idx="34">
                  <c:v>38.533320000000003</c:v>
                </c:pt>
                <c:pt idx="35">
                  <c:v>38.578680000000006</c:v>
                </c:pt>
                <c:pt idx="36">
                  <c:v>40.801320000000004</c:v>
                </c:pt>
                <c:pt idx="37">
                  <c:v>40.846680000000006</c:v>
                </c:pt>
                <c:pt idx="38">
                  <c:v>43.069320000000005</c:v>
                </c:pt>
                <c:pt idx="39">
                  <c:v>43.114680000000007</c:v>
                </c:pt>
                <c:pt idx="40">
                  <c:v>45.337320000000005</c:v>
                </c:pt>
                <c:pt idx="41">
                  <c:v>45.382680000000008</c:v>
                </c:pt>
                <c:pt idx="42">
                  <c:v>47.605320000000006</c:v>
                </c:pt>
                <c:pt idx="43">
                  <c:v>47.650680000000008</c:v>
                </c:pt>
                <c:pt idx="44">
                  <c:v>49.873320000000007</c:v>
                </c:pt>
                <c:pt idx="45">
                  <c:v>49.918680000000009</c:v>
                </c:pt>
                <c:pt idx="46">
                  <c:v>52.141320000000007</c:v>
                </c:pt>
                <c:pt idx="47">
                  <c:v>52.18668000000001</c:v>
                </c:pt>
                <c:pt idx="48">
                  <c:v>54.409320000000001</c:v>
                </c:pt>
                <c:pt idx="49">
                  <c:v>54.454680000000003</c:v>
                </c:pt>
                <c:pt idx="50">
                  <c:v>56.677320000000002</c:v>
                </c:pt>
                <c:pt idx="51">
                  <c:v>56.722680000000004</c:v>
                </c:pt>
              </c:numCache>
            </c:numRef>
          </c:xVal>
          <c:yVal>
            <c:numRef>
              <c:f>AOX!$U$46:$U$97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6.2988158226253449E-2</c:v>
                </c:pt>
                <c:pt idx="12">
                  <c:v>6.2988158226253449E-2</c:v>
                </c:pt>
                <c:pt idx="13">
                  <c:v>2.0996052742084485E-2</c:v>
                </c:pt>
                <c:pt idx="14">
                  <c:v>2.0996052742084485E-2</c:v>
                </c:pt>
                <c:pt idx="15">
                  <c:v>4.1992105484168971E-2</c:v>
                </c:pt>
                <c:pt idx="16">
                  <c:v>4.1992105484168971E-2</c:v>
                </c:pt>
                <c:pt idx="17">
                  <c:v>2.0996052742084485E-2</c:v>
                </c:pt>
                <c:pt idx="18">
                  <c:v>2.0996052742084485E-2</c:v>
                </c:pt>
                <c:pt idx="19">
                  <c:v>0.10498026371042243</c:v>
                </c:pt>
                <c:pt idx="20">
                  <c:v>0.10498026371042243</c:v>
                </c:pt>
                <c:pt idx="21">
                  <c:v>4.1992105484168971E-2</c:v>
                </c:pt>
                <c:pt idx="22">
                  <c:v>4.1992105484168971E-2</c:v>
                </c:pt>
                <c:pt idx="23">
                  <c:v>2.0996052742084485E-2</c:v>
                </c:pt>
                <c:pt idx="24">
                  <c:v>2.0996052742084485E-2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6.2988158226253449E-2</c:v>
                </c:pt>
                <c:pt idx="30">
                  <c:v>6.2988158226253449E-2</c:v>
                </c:pt>
                <c:pt idx="31">
                  <c:v>2.0996052742084485E-2</c:v>
                </c:pt>
                <c:pt idx="32">
                  <c:v>2.0996052742084485E-2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2.0996052742084485E-2</c:v>
                </c:pt>
                <c:pt idx="48">
                  <c:v>2.0996052742084485E-2</c:v>
                </c:pt>
                <c:pt idx="49">
                  <c:v>2.0996052742084485E-2</c:v>
                </c:pt>
                <c:pt idx="50">
                  <c:v>2.0996052742084485E-2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09-4F7A-BB7B-92533FB04CBF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AOX!$U$3:$V$3</c:f>
              <c:numCache>
                <c:formatCode>0.000</c:formatCode>
                <c:ptCount val="2"/>
                <c:pt idx="0">
                  <c:v>46.396749388513626</c:v>
                </c:pt>
                <c:pt idx="1">
                  <c:v>46.396749388513626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09-4F7A-BB7B-92533FB04CBF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AOX!$U$4:$V$4</c:f>
              <c:numCache>
                <c:formatCode>0.000</c:formatCode>
                <c:ptCount val="2"/>
                <c:pt idx="0">
                  <c:v>45.308689121073883</c:v>
                </c:pt>
                <c:pt idx="1">
                  <c:v>45.308689121073883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09-4F7A-BB7B-92533FB04CBF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AOX!$U$5:$V$5</c:f>
              <c:numCache>
                <c:formatCode>0.000</c:formatCode>
                <c:ptCount val="2"/>
                <c:pt idx="0">
                  <c:v>50.770397124010373</c:v>
                </c:pt>
                <c:pt idx="1">
                  <c:v>50.770397124010373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09-4F7A-BB7B-92533FB04CBF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AOX!$U$6:$V$6</c:f>
              <c:numCache>
                <c:formatCode>0.000</c:formatCode>
                <c:ptCount val="2"/>
                <c:pt idx="0">
                  <c:v>55.160049327906563</c:v>
                </c:pt>
                <c:pt idx="1">
                  <c:v>55.160049327906563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09-4F7A-BB7B-92533FB04CBF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AOX!$U$7:$V$7</c:f>
              <c:numCache>
                <c:formatCode>0.000</c:formatCode>
                <c:ptCount val="2"/>
                <c:pt idx="0">
                  <c:v>-0.3967493885136264</c:v>
                </c:pt>
                <c:pt idx="1">
                  <c:v>-0.3967493885136264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09-4F7A-BB7B-92533FB04CBF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AOX!$U$8:$V$8</c:f>
              <c:numCache>
                <c:formatCode>0.000</c:formatCode>
                <c:ptCount val="2"/>
                <c:pt idx="0">
                  <c:v>2.0790394708276079</c:v>
                </c:pt>
                <c:pt idx="1">
                  <c:v>2.0790394708276079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09-4F7A-BB7B-92533FB04CBF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AOX!$U$11:$V$11</c:f>
              <c:numCache>
                <c:formatCode>0.000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xVal>
          <c:yVal>
            <c:numRef>
              <c:f>AOX!$U$2:$V$2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209-4F7A-BB7B-92533FB04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75232"/>
        <c:axId val="154576768"/>
      </c:scatterChart>
      <c:valAx>
        <c:axId val="154575232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576768"/>
        <c:crosses val="autoZero"/>
        <c:crossBetween val="midCat"/>
        <c:majorUnit val="50"/>
        <c:minorUnit val="10"/>
      </c:valAx>
      <c:valAx>
        <c:axId val="154576768"/>
        <c:scaling>
          <c:orientation val="minMax"/>
          <c:max val="0.1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575232"/>
        <c:crosses val="autoZero"/>
        <c:crossBetween val="midCat"/>
        <c:majorUnit val="0.05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AOX!$M$3:$M$252</c:f>
              <c:numCache>
                <c:formatCode>d/m/yyyy;@</c:formatCode>
                <c:ptCount val="250"/>
                <c:pt idx="0">
                  <c:v>36928</c:v>
                </c:pt>
                <c:pt idx="1">
                  <c:v>37022</c:v>
                </c:pt>
                <c:pt idx="2">
                  <c:v>37201</c:v>
                </c:pt>
                <c:pt idx="3">
                  <c:v>37292</c:v>
                </c:pt>
                <c:pt idx="4">
                  <c:v>37369</c:v>
                </c:pt>
                <c:pt idx="5">
                  <c:v>37466</c:v>
                </c:pt>
                <c:pt idx="6">
                  <c:v>37565</c:v>
                </c:pt>
                <c:pt idx="7">
                  <c:v>37656</c:v>
                </c:pt>
                <c:pt idx="8">
                  <c:v>37768</c:v>
                </c:pt>
                <c:pt idx="9">
                  <c:v>37846</c:v>
                </c:pt>
                <c:pt idx="10">
                  <c:v>37935</c:v>
                </c:pt>
                <c:pt idx="11">
                  <c:v>38020</c:v>
                </c:pt>
                <c:pt idx="12">
                  <c:v>38111</c:v>
                </c:pt>
                <c:pt idx="13">
                  <c:v>38313</c:v>
                </c:pt>
                <c:pt idx="14">
                  <c:v>38384</c:v>
                </c:pt>
                <c:pt idx="15">
                  <c:v>38481</c:v>
                </c:pt>
                <c:pt idx="16">
                  <c:v>38560</c:v>
                </c:pt>
                <c:pt idx="17">
                  <c:v>38659</c:v>
                </c:pt>
                <c:pt idx="18">
                  <c:v>38749</c:v>
                </c:pt>
                <c:pt idx="19">
                  <c:v>38842</c:v>
                </c:pt>
                <c:pt idx="20">
                  <c:v>39021</c:v>
                </c:pt>
              </c:numCache>
            </c:numRef>
          </c:xVal>
          <c:yVal>
            <c:numRef>
              <c:f>AOX!$N$3:$N$252</c:f>
              <c:numCache>
                <c:formatCode>General</c:formatCode>
                <c:ptCount val="250"/>
                <c:pt idx="0">
                  <c:v>30</c:v>
                </c:pt>
                <c:pt idx="1">
                  <c:v>24</c:v>
                </c:pt>
                <c:pt idx="2">
                  <c:v>54</c:v>
                </c:pt>
                <c:pt idx="3">
                  <c:v>50</c:v>
                </c:pt>
                <c:pt idx="4">
                  <c:v>30</c:v>
                </c:pt>
                <c:pt idx="5">
                  <c:v>31</c:v>
                </c:pt>
                <c:pt idx="6">
                  <c:v>22</c:v>
                </c:pt>
                <c:pt idx="7">
                  <c:v>20</c:v>
                </c:pt>
                <c:pt idx="8">
                  <c:v>10</c:v>
                </c:pt>
                <c:pt idx="9">
                  <c:v>20</c:v>
                </c:pt>
                <c:pt idx="10">
                  <c:v>10</c:v>
                </c:pt>
                <c:pt idx="11">
                  <c:v>20</c:v>
                </c:pt>
                <c:pt idx="12">
                  <c:v>15</c:v>
                </c:pt>
                <c:pt idx="13">
                  <c:v>10</c:v>
                </c:pt>
                <c:pt idx="14">
                  <c:v>20</c:v>
                </c:pt>
                <c:pt idx="15">
                  <c:v>14</c:v>
                </c:pt>
                <c:pt idx="16">
                  <c:v>34</c:v>
                </c:pt>
                <c:pt idx="17">
                  <c:v>12</c:v>
                </c:pt>
                <c:pt idx="18">
                  <c:v>22</c:v>
                </c:pt>
                <c:pt idx="19">
                  <c:v>19</c:v>
                </c:pt>
                <c:pt idx="20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A5-4F3D-9D3C-FD114280B174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AOX!$E$57:$E$58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AOX!$F$57:$F$58</c:f>
              <c:numCache>
                <c:formatCode>0.000</c:formatCode>
                <c:ptCount val="2"/>
                <c:pt idx="0">
                  <c:v>46.396749388513626</c:v>
                </c:pt>
                <c:pt idx="1">
                  <c:v>46.396749388513626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A5-4F3D-9D3C-FD114280B174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AOX!$E$57:$E$58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AOX!$J$57:$J$58</c:f>
              <c:numCache>
                <c:formatCode>0.000</c:formatCode>
                <c:ptCount val="2"/>
                <c:pt idx="0">
                  <c:v>45.308689121073883</c:v>
                </c:pt>
                <c:pt idx="1">
                  <c:v>45.308689121073883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A5-4F3D-9D3C-FD114280B174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AOX!$G$122:$G$123</c:f>
              <c:numCache>
                <c:formatCode>d/m/yyyy;@</c:formatCode>
                <c:ptCount val="2"/>
                <c:pt idx="0">
                  <c:v>10</c:v>
                </c:pt>
                <c:pt idx="1">
                  <c:v>39021</c:v>
                </c:pt>
              </c:numCache>
            </c:numRef>
          </c:xVal>
          <c:yVal>
            <c:numRef>
              <c:f>AOX!$I$122:$I$123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A5-4F3D-9D3C-FD114280B174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AOX!$G$122:$G$123</c:f>
              <c:numCache>
                <c:formatCode>d/m/yyyy;@</c:formatCode>
                <c:ptCount val="2"/>
                <c:pt idx="0">
                  <c:v>10</c:v>
                </c:pt>
                <c:pt idx="1">
                  <c:v>39021</c:v>
                </c:pt>
              </c:numCache>
            </c:numRef>
          </c:xVal>
          <c:yVal>
            <c:numRef>
              <c:f>AOX!$J$122:$J$123</c:f>
              <c:numCache>
                <c:formatCode>General</c:formatCode>
                <c:ptCount val="2"/>
                <c:pt idx="0">
                  <c:v>401.31844299730852</c:v>
                </c:pt>
                <c:pt idx="1">
                  <c:v>12.436696731880772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A5-4F3D-9D3C-FD114280B174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AOX!$E$57:$E$58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AOX!$G$57:$G$58</c:f>
              <c:numCache>
                <c:formatCode>0.000</c:formatCode>
                <c:ptCount val="2"/>
                <c:pt idx="0">
                  <c:v>-0.3967493885136264</c:v>
                </c:pt>
                <c:pt idx="1">
                  <c:v>-0.3967493885136264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A5-4F3D-9D3C-FD114280B174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AOX!$E$57:$E$58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AOX!$H$57:$H$58</c:f>
              <c:numCache>
                <c:formatCode>0.000</c:formatCode>
                <c:ptCount val="2"/>
                <c:pt idx="0">
                  <c:v>50.770397124010373</c:v>
                </c:pt>
                <c:pt idx="1">
                  <c:v>50.770397124010373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A5-4F3D-9D3C-FD114280B174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AOX!$E$57:$E$58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AOX!$K$57:$K$58</c:f>
              <c:numCache>
                <c:formatCode>0.000</c:formatCode>
                <c:ptCount val="2"/>
                <c:pt idx="0">
                  <c:v>55.160049327906563</c:v>
                </c:pt>
                <c:pt idx="1">
                  <c:v>55.160049327906563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A5-4F3D-9D3C-FD114280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39392"/>
        <c:axId val="155349376"/>
      </c:scatterChart>
      <c:valAx>
        <c:axId val="15533939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5349376"/>
        <c:crossesAt val="0"/>
        <c:crossBetween val="midCat"/>
        <c:majorUnit val="1461"/>
        <c:minorUnit val="365.25"/>
      </c:valAx>
      <c:valAx>
        <c:axId val="155349376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5339392"/>
        <c:crossesAt val="0"/>
        <c:crossBetween val="midCat"/>
        <c:majorUnit val="2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Arsen!$F$63:$F$113</c:f>
              <c:numCache>
                <c:formatCode>General</c:formatCode>
                <c:ptCount val="51"/>
                <c:pt idx="0">
                  <c:v>-23.053661693738917</c:v>
                </c:pt>
                <c:pt idx="1">
                  <c:v>-21.725271323550338</c:v>
                </c:pt>
                <c:pt idx="2">
                  <c:v>-20.396880953361755</c:v>
                </c:pt>
                <c:pt idx="3">
                  <c:v>-19.06849058317318</c:v>
                </c:pt>
                <c:pt idx="4">
                  <c:v>-17.740100212984597</c:v>
                </c:pt>
                <c:pt idx="5">
                  <c:v>-16.411709842796014</c:v>
                </c:pt>
                <c:pt idx="6">
                  <c:v>-15.083319472607432</c:v>
                </c:pt>
                <c:pt idx="7">
                  <c:v>-13.754929102418853</c:v>
                </c:pt>
                <c:pt idx="8">
                  <c:v>-12.42653873223027</c:v>
                </c:pt>
                <c:pt idx="9">
                  <c:v>-11.098148362041691</c:v>
                </c:pt>
                <c:pt idx="10">
                  <c:v>-9.7697579918531083</c:v>
                </c:pt>
                <c:pt idx="11">
                  <c:v>-8.4413676216645257</c:v>
                </c:pt>
                <c:pt idx="12">
                  <c:v>-7.1129772514759466</c:v>
                </c:pt>
                <c:pt idx="13">
                  <c:v>-5.784586881287364</c:v>
                </c:pt>
                <c:pt idx="14">
                  <c:v>-4.4561965110987849</c:v>
                </c:pt>
                <c:pt idx="15">
                  <c:v>-3.1278061409102023</c:v>
                </c:pt>
                <c:pt idx="16">
                  <c:v>-1.7994157707216214</c:v>
                </c:pt>
                <c:pt idx="17">
                  <c:v>-0.47102540053304054</c:v>
                </c:pt>
                <c:pt idx="18">
                  <c:v>0.8573649696555421</c:v>
                </c:pt>
                <c:pt idx="19">
                  <c:v>2.185755339844123</c:v>
                </c:pt>
                <c:pt idx="20">
                  <c:v>3.5141457100327038</c:v>
                </c:pt>
                <c:pt idx="21">
                  <c:v>4.8425360802212847</c:v>
                </c:pt>
                <c:pt idx="22">
                  <c:v>6.1709264504098664</c:v>
                </c:pt>
                <c:pt idx="23">
                  <c:v>7.4993168205984473</c:v>
                </c:pt>
                <c:pt idx="24">
                  <c:v>8.827707190787029</c:v>
                </c:pt>
                <c:pt idx="25">
                  <c:v>10.15609756097561</c:v>
                </c:pt>
                <c:pt idx="26">
                  <c:v>11.484487931164191</c:v>
                </c:pt>
                <c:pt idx="27">
                  <c:v>12.812878301352772</c:v>
                </c:pt>
                <c:pt idx="28">
                  <c:v>14.141268671541354</c:v>
                </c:pt>
                <c:pt idx="29">
                  <c:v>15.469659041730001</c:v>
                </c:pt>
                <c:pt idx="30">
                  <c:v>16.798049411918583</c:v>
                </c:pt>
                <c:pt idx="31">
                  <c:v>18.126439782107163</c:v>
                </c:pt>
                <c:pt idx="32">
                  <c:v>19.454830152295742</c:v>
                </c:pt>
                <c:pt idx="33">
                  <c:v>20.783220522484328</c:v>
                </c:pt>
                <c:pt idx="34">
                  <c:v>22.111610892672907</c:v>
                </c:pt>
                <c:pt idx="35">
                  <c:v>23.44000126286149</c:v>
                </c:pt>
                <c:pt idx="36">
                  <c:v>24.768391633050069</c:v>
                </c:pt>
                <c:pt idx="37">
                  <c:v>26.096782003238651</c:v>
                </c:pt>
                <c:pt idx="38">
                  <c:v>27.42517237342723</c:v>
                </c:pt>
                <c:pt idx="39">
                  <c:v>28.753562743615813</c:v>
                </c:pt>
                <c:pt idx="40">
                  <c:v>30.081953113804396</c:v>
                </c:pt>
                <c:pt idx="41">
                  <c:v>31.410343483992975</c:v>
                </c:pt>
                <c:pt idx="42">
                  <c:v>32.738733854181561</c:v>
                </c:pt>
                <c:pt idx="43">
                  <c:v>34.067124224370133</c:v>
                </c:pt>
                <c:pt idx="44">
                  <c:v>35.395514594558719</c:v>
                </c:pt>
                <c:pt idx="45">
                  <c:v>36.723904964747298</c:v>
                </c:pt>
                <c:pt idx="46">
                  <c:v>38.052295334935877</c:v>
                </c:pt>
                <c:pt idx="47">
                  <c:v>39.380685705124463</c:v>
                </c:pt>
                <c:pt idx="48">
                  <c:v>40.70907607531305</c:v>
                </c:pt>
                <c:pt idx="49">
                  <c:v>42.037466445501622</c:v>
                </c:pt>
                <c:pt idx="50">
                  <c:v>43.365856815690137</c:v>
                </c:pt>
              </c:numCache>
            </c:numRef>
          </c:xVal>
          <c:yVal>
            <c:numRef>
              <c:f>Arsen!$G$63:$G$113</c:f>
              <c:numCache>
                <c:formatCode>General</c:formatCode>
                <c:ptCount val="51"/>
                <c:pt idx="0">
                  <c:v>2.2383774349753004E-7</c:v>
                </c:pt>
                <c:pt idx="1">
                  <c:v>5.9640587284138783E-7</c:v>
                </c:pt>
                <c:pt idx="2">
                  <c:v>1.526787952256405E-6</c:v>
                </c:pt>
                <c:pt idx="3">
                  <c:v>3.7552923974467905E-6</c:v>
                </c:pt>
                <c:pt idx="4">
                  <c:v>8.8743593870184664E-6</c:v>
                </c:pt>
                <c:pt idx="5">
                  <c:v>2.0149231546429616E-5</c:v>
                </c:pt>
                <c:pt idx="6">
                  <c:v>4.3954989789637641E-5</c:v>
                </c:pt>
                <c:pt idx="7">
                  <c:v>9.2126824139338647E-5</c:v>
                </c:pt>
                <c:pt idx="8">
                  <c:v>1.8552064154124984E-4</c:v>
                </c:pt>
                <c:pt idx="9">
                  <c:v>3.5894391512735673E-4</c:v>
                </c:pt>
                <c:pt idx="10">
                  <c:v>6.6725090928035748E-4</c:v>
                </c:pt>
                <c:pt idx="11">
                  <c:v>1.1917357669276498E-3</c:v>
                </c:pt>
                <c:pt idx="12">
                  <c:v>2.0450267539589805E-3</c:v>
                </c:pt>
                <c:pt idx="13">
                  <c:v>3.3716791084030099E-3</c:v>
                </c:pt>
                <c:pt idx="14">
                  <c:v>5.3409891613705948E-3</c:v>
                </c:pt>
                <c:pt idx="15">
                  <c:v>8.1287801725818572E-3</c:v>
                </c:pt>
                <c:pt idx="16">
                  <c:v>1.1886589977264923E-2</c:v>
                </c:pt>
                <c:pt idx="17">
                  <c:v>1.6700035948575716E-2</c:v>
                </c:pt>
                <c:pt idx="18">
                  <c:v>2.2542690612020806E-2</c:v>
                </c:pt>
                <c:pt idx="19">
                  <c:v>2.9236293689127828E-2</c:v>
                </c:pt>
                <c:pt idx="20">
                  <c:v>3.6430665254640879E-2</c:v>
                </c:pt>
                <c:pt idx="21">
                  <c:v>4.3615424992934491E-2</c:v>
                </c:pt>
                <c:pt idx="22">
                  <c:v>5.0169680595395214E-2</c:v>
                </c:pt>
                <c:pt idx="23">
                  <c:v>5.5446071963174928E-2</c:v>
                </c:pt>
                <c:pt idx="24">
                  <c:v>5.8874665572883164E-2</c:v>
                </c:pt>
                <c:pt idx="25">
                  <c:v>6.0064012711082512E-2</c:v>
                </c:pt>
                <c:pt idx="26">
                  <c:v>5.8874665572883164E-2</c:v>
                </c:pt>
                <c:pt idx="27">
                  <c:v>5.5446071963174942E-2</c:v>
                </c:pt>
                <c:pt idx="28">
                  <c:v>5.0169680595395214E-2</c:v>
                </c:pt>
                <c:pt idx="29">
                  <c:v>4.3615424992934144E-2</c:v>
                </c:pt>
                <c:pt idx="30">
                  <c:v>3.6430665254640497E-2</c:v>
                </c:pt>
                <c:pt idx="31">
                  <c:v>2.9236293689127474E-2</c:v>
                </c:pt>
                <c:pt idx="32">
                  <c:v>2.2542690612020508E-2</c:v>
                </c:pt>
                <c:pt idx="33">
                  <c:v>1.6700035948575442E-2</c:v>
                </c:pt>
                <c:pt idx="34">
                  <c:v>1.188658997726471E-2</c:v>
                </c:pt>
                <c:pt idx="35">
                  <c:v>8.1287801725816906E-3</c:v>
                </c:pt>
                <c:pt idx="36">
                  <c:v>5.3409891613704803E-3</c:v>
                </c:pt>
                <c:pt idx="37">
                  <c:v>3.3716791084029275E-3</c:v>
                </c:pt>
                <c:pt idx="38">
                  <c:v>2.0450267539589288E-3</c:v>
                </c:pt>
                <c:pt idx="39">
                  <c:v>1.191735766927616E-3</c:v>
                </c:pt>
                <c:pt idx="40">
                  <c:v>6.6725090928033731E-4</c:v>
                </c:pt>
                <c:pt idx="41">
                  <c:v>3.5894391512734556E-4</c:v>
                </c:pt>
                <c:pt idx="42">
                  <c:v>1.8552064154124309E-4</c:v>
                </c:pt>
                <c:pt idx="43">
                  <c:v>9.212682413933553E-5</c:v>
                </c:pt>
                <c:pt idx="44">
                  <c:v>4.395498978963596E-5</c:v>
                </c:pt>
                <c:pt idx="45">
                  <c:v>2.0149231546428827E-5</c:v>
                </c:pt>
                <c:pt idx="46">
                  <c:v>8.8743593870181361E-6</c:v>
                </c:pt>
                <c:pt idx="47">
                  <c:v>3.7552923974466304E-6</c:v>
                </c:pt>
                <c:pt idx="48">
                  <c:v>1.5267879522563239E-6</c:v>
                </c:pt>
                <c:pt idx="49">
                  <c:v>5.964058728413603E-7</c:v>
                </c:pt>
                <c:pt idx="50">
                  <c:v>2.2383774349753004E-7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10-490E-B624-6B2FA71EA2BC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Arsen!$I$63:$I$113</c:f>
              <c:numCache>
                <c:formatCode>General</c:formatCode>
                <c:ptCount val="51"/>
                <c:pt idx="0">
                  <c:v>1.5909436051388033</c:v>
                </c:pt>
                <c:pt idx="1">
                  <c:v>1.7075591760335203</c:v>
                </c:pt>
                <c:pt idx="2">
                  <c:v>1.8327226246350112</c:v>
                </c:pt>
                <c:pt idx="3">
                  <c:v>1.9670605071804006</c:v>
                </c:pt>
                <c:pt idx="4">
                  <c:v>2.111245306244526</c:v>
                </c:pt>
                <c:pt idx="5">
                  <c:v>2.2659987971233035</c:v>
                </c:pt>
                <c:pt idx="6">
                  <c:v>2.4320956609717368</c:v>
                </c:pt>
                <c:pt idx="7">
                  <c:v>2.6103673627835922</c:v>
                </c:pt>
                <c:pt idx="8">
                  <c:v>2.8017063136255276</c:v>
                </c:pt>
                <c:pt idx="9">
                  <c:v>3.0070703379614292</c:v>
                </c:pt>
                <c:pt idx="10">
                  <c:v>3.2274874684299517</c:v>
                </c:pt>
                <c:pt idx="11">
                  <c:v>3.4640610920774515</c:v>
                </c:pt>
                <c:pt idx="12">
                  <c:v>3.7179754738078739</c:v>
                </c:pt>
                <c:pt idx="13">
                  <c:v>3.9905016846994492</c:v>
                </c:pt>
                <c:pt idx="14">
                  <c:v>4.2830039648647826</c:v>
                </c:pt>
                <c:pt idx="15">
                  <c:v>4.5969465527062079</c:v>
                </c:pt>
                <c:pt idx="16">
                  <c:v>4.9339010147530029</c:v>
                </c:pt>
                <c:pt idx="17">
                  <c:v>5.2955541127729315</c:v>
                </c:pt>
                <c:pt idx="18">
                  <c:v>5.6837162475401177</c:v>
                </c:pt>
                <c:pt idx="19">
                  <c:v>6.1003305215279386</c:v>
                </c:pt>
                <c:pt idx="20">
                  <c:v>6.5474824658939239</c:v>
                </c:pt>
                <c:pt idx="21">
                  <c:v>7.0274104804490038</c:v>
                </c:pt>
                <c:pt idx="22">
                  <c:v>7.5425170388725995</c:v>
                </c:pt>
                <c:pt idx="23">
                  <c:v>8.0953807152657795</c:v>
                </c:pt>
                <c:pt idx="24">
                  <c:v>8.6887690922462664</c:v>
                </c:pt>
                <c:pt idx="25">
                  <c:v>9.3256526152019834</c:v>
                </c:pt>
                <c:pt idx="26">
                  <c:v>10.009219462056185</c:v>
                </c:pt>
                <c:pt idx="27">
                  <c:v>10.742891502980827</c:v>
                </c:pt>
                <c:pt idx="28">
                  <c:v>11.530341429950935</c:v>
                </c:pt>
                <c:pt idx="29">
                  <c:v>12.375511141888959</c:v>
                </c:pt>
                <c:pt idx="30">
                  <c:v>13.282631477433096</c:v>
                </c:pt>
                <c:pt idx="31">
                  <c:v>14.256243394110593</c:v>
                </c:pt>
                <c:pt idx="32">
                  <c:v>15.30122069993608</c:v>
                </c:pt>
                <c:pt idx="33">
                  <c:v>16.422794451227809</c:v>
                </c:pt>
                <c:pt idx="34">
                  <c:v>17.626579138774556</c:v>
                </c:pt>
                <c:pt idx="35">
                  <c:v>18.918600793438912</c:v>
                </c:pt>
                <c:pt idx="36">
                  <c:v>20.305327151890584</c:v>
                </c:pt>
                <c:pt idx="37">
                  <c:v>21.79370003347687</c:v>
                </c:pt>
                <c:pt idx="38">
                  <c:v>23.39117009030543</c:v>
                </c:pt>
                <c:pt idx="39">
                  <c:v>25.105734104495237</c:v>
                </c:pt>
                <c:pt idx="40">
                  <c:v>26.945975019302047</c:v>
                </c:pt>
                <c:pt idx="41">
                  <c:v>28.921104904510337</c:v>
                </c:pt>
                <c:pt idx="42">
                  <c:v>31.041011071172505</c:v>
                </c:pt>
                <c:pt idx="43">
                  <c:v>33.316305566540976</c:v>
                </c:pt>
                <c:pt idx="44">
                  <c:v>35.758378296960643</c:v>
                </c:pt>
                <c:pt idx="45">
                  <c:v>38.379454044649059</c:v>
                </c:pt>
                <c:pt idx="46">
                  <c:v>41.192653663785684</c:v>
                </c:pt>
                <c:pt idx="47">
                  <c:v>44.212059762251116</c:v>
                </c:pt>
                <c:pt idx="48">
                  <c:v>47.452787197813777</c:v>
                </c:pt>
                <c:pt idx="49">
                  <c:v>50.931058741660067</c:v>
                </c:pt>
                <c:pt idx="50">
                  <c:v>54.664286288033466</c:v>
                </c:pt>
              </c:numCache>
            </c:numRef>
          </c:xVal>
          <c:yVal>
            <c:numRef>
              <c:f>Arsen!$J$63:$J$113</c:f>
              <c:numCache>
                <c:formatCode>General</c:formatCode>
                <c:ptCount val="51"/>
                <c:pt idx="0">
                  <c:v>2.6421260150565319E-6</c:v>
                </c:pt>
                <c:pt idx="1">
                  <c:v>6.5590530208761258E-6</c:v>
                </c:pt>
                <c:pt idx="2">
                  <c:v>1.5644330298789934E-5</c:v>
                </c:pt>
                <c:pt idx="3">
                  <c:v>3.5850980053109757E-5</c:v>
                </c:pt>
                <c:pt idx="4">
                  <c:v>7.8935671696262998E-5</c:v>
                </c:pt>
                <c:pt idx="5">
                  <c:v>1.669835947548468E-4</c:v>
                </c:pt>
                <c:pt idx="6">
                  <c:v>3.3939272128783035E-4</c:v>
                </c:pt>
                <c:pt idx="7">
                  <c:v>6.6276484294000874E-4</c:v>
                </c:pt>
                <c:pt idx="8">
                  <c:v>1.2434966572507763E-3</c:v>
                </c:pt>
                <c:pt idx="9">
                  <c:v>2.2415994029193393E-3</c:v>
                </c:pt>
                <c:pt idx="10">
                  <c:v>3.8823939639801653E-3</c:v>
                </c:pt>
                <c:pt idx="11">
                  <c:v>6.4605489990155994E-3</c:v>
                </c:pt>
                <c:pt idx="12">
                  <c:v>1.0329218560687822E-2</c:v>
                </c:pt>
                <c:pt idx="13">
                  <c:v>1.5866960112215438E-2</c:v>
                </c:pt>
                <c:pt idx="14">
                  <c:v>2.3417914374493073E-2</c:v>
                </c:pt>
                <c:pt idx="15">
                  <c:v>3.3207097565906535E-2</c:v>
                </c:pt>
                <c:pt idx="16">
                  <c:v>4.5242004994782203E-2</c:v>
                </c:pt>
                <c:pt idx="17">
                  <c:v>5.9221716269076935E-2</c:v>
                </c:pt>
                <c:pt idx="18">
                  <c:v>7.4481489963662439E-2</c:v>
                </c:pt>
                <c:pt idx="19">
                  <c:v>9.000029713353723E-2</c:v>
                </c:pt>
                <c:pt idx="20">
                  <c:v>0.10448832116426676</c:v>
                </c:pt>
                <c:pt idx="21">
                  <c:v>0.11655201337681212</c:v>
                </c:pt>
                <c:pt idx="22">
                  <c:v>0.12491081145574648</c:v>
                </c:pt>
                <c:pt idx="23">
                  <c:v>0.12861999842189489</c:v>
                </c:pt>
                <c:pt idx="24">
                  <c:v>0.12724630817013999</c:v>
                </c:pt>
                <c:pt idx="25">
                  <c:v>0.12095117802190564</c:v>
                </c:pt>
                <c:pt idx="26">
                  <c:v>0.11045954119823351</c:v>
                </c:pt>
                <c:pt idx="27">
                  <c:v>9.6922495636599673E-2</c:v>
                </c:pt>
                <c:pt idx="28">
                  <c:v>8.1709802738111945E-2</c:v>
                </c:pt>
                <c:pt idx="29">
                  <c:v>6.6183839271839323E-2</c:v>
                </c:pt>
                <c:pt idx="30">
                  <c:v>5.1506017604723398E-2</c:v>
                </c:pt>
                <c:pt idx="31">
                  <c:v>3.851165726990214E-2</c:v>
                </c:pt>
                <c:pt idx="32">
                  <c:v>2.766652824301967E-2</c:v>
                </c:pt>
                <c:pt idx="33">
                  <c:v>1.9096129107962514E-2</c:v>
                </c:pt>
                <c:pt idx="34">
                  <c:v>1.2663805755830348E-2</c:v>
                </c:pt>
                <c:pt idx="35">
                  <c:v>8.0688447495498548E-3</c:v>
                </c:pt>
                <c:pt idx="36">
                  <c:v>4.9395421883403129E-3</c:v>
                </c:pt>
                <c:pt idx="37">
                  <c:v>2.9052951523418661E-3</c:v>
                </c:pt>
                <c:pt idx="38">
                  <c:v>1.6418067640042516E-3</c:v>
                </c:pt>
                <c:pt idx="39">
                  <c:v>8.9141931989720601E-4</c:v>
                </c:pt>
                <c:pt idx="40">
                  <c:v>4.6501853643365589E-4</c:v>
                </c:pt>
                <c:pt idx="41">
                  <c:v>2.3307017820952547E-4</c:v>
                </c:pt>
                <c:pt idx="42">
                  <c:v>1.1223579114750836E-4</c:v>
                </c:pt>
                <c:pt idx="43">
                  <c:v>5.1928318155071937E-5</c:v>
                </c:pt>
                <c:pt idx="44">
                  <c:v>2.3083696859922979E-5</c:v>
                </c:pt>
                <c:pt idx="45">
                  <c:v>9.8590413613908189E-6</c:v>
                </c:pt>
                <c:pt idx="46">
                  <c:v>4.0456865858704932E-6</c:v>
                </c:pt>
                <c:pt idx="47">
                  <c:v>1.5950635954399366E-6</c:v>
                </c:pt>
                <c:pt idx="48">
                  <c:v>6.0421568002595096E-7</c:v>
                </c:pt>
                <c:pt idx="49">
                  <c:v>2.1990454250513423E-7</c:v>
                </c:pt>
                <c:pt idx="50">
                  <c:v>7.6896156029118583E-8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10-490E-B624-6B2FA71EA2BC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Arsen!$T$46:$T$97</c:f>
              <c:numCache>
                <c:formatCode>0.0</c:formatCode>
                <c:ptCount val="52"/>
                <c:pt idx="0">
                  <c:v>-2.1000000000000001E-2</c:v>
                </c:pt>
                <c:pt idx="1">
                  <c:v>2.1000000000000001E-2</c:v>
                </c:pt>
                <c:pt idx="2">
                  <c:v>2.0790000000000002</c:v>
                </c:pt>
                <c:pt idx="3">
                  <c:v>2.121</c:v>
                </c:pt>
                <c:pt idx="4">
                  <c:v>4.1790000000000003</c:v>
                </c:pt>
                <c:pt idx="5">
                  <c:v>4.2210000000000001</c:v>
                </c:pt>
                <c:pt idx="6">
                  <c:v>6.2790000000000008</c:v>
                </c:pt>
                <c:pt idx="7">
                  <c:v>6.3210000000000006</c:v>
                </c:pt>
                <c:pt idx="8">
                  <c:v>8.3789999999999996</c:v>
                </c:pt>
                <c:pt idx="9">
                  <c:v>8.4210000000000012</c:v>
                </c:pt>
                <c:pt idx="10">
                  <c:v>10.478999999999999</c:v>
                </c:pt>
                <c:pt idx="11">
                  <c:v>10.521000000000001</c:v>
                </c:pt>
                <c:pt idx="12">
                  <c:v>12.579000000000001</c:v>
                </c:pt>
                <c:pt idx="13">
                  <c:v>12.621000000000002</c:v>
                </c:pt>
                <c:pt idx="14">
                  <c:v>14.679</c:v>
                </c:pt>
                <c:pt idx="15">
                  <c:v>14.721000000000002</c:v>
                </c:pt>
                <c:pt idx="16">
                  <c:v>16.779</c:v>
                </c:pt>
                <c:pt idx="17">
                  <c:v>16.821000000000002</c:v>
                </c:pt>
                <c:pt idx="18">
                  <c:v>18.879000000000001</c:v>
                </c:pt>
                <c:pt idx="19">
                  <c:v>18.921000000000003</c:v>
                </c:pt>
                <c:pt idx="20">
                  <c:v>20.978999999999999</c:v>
                </c:pt>
                <c:pt idx="21">
                  <c:v>21.021000000000001</c:v>
                </c:pt>
                <c:pt idx="22">
                  <c:v>23.079000000000001</c:v>
                </c:pt>
                <c:pt idx="23">
                  <c:v>23.121000000000002</c:v>
                </c:pt>
                <c:pt idx="24">
                  <c:v>25.179000000000002</c:v>
                </c:pt>
                <c:pt idx="25">
                  <c:v>25.221000000000004</c:v>
                </c:pt>
                <c:pt idx="26">
                  <c:v>27.279</c:v>
                </c:pt>
                <c:pt idx="27">
                  <c:v>27.321000000000002</c:v>
                </c:pt>
                <c:pt idx="28">
                  <c:v>29.379000000000001</c:v>
                </c:pt>
                <c:pt idx="29">
                  <c:v>29.421000000000003</c:v>
                </c:pt>
                <c:pt idx="30">
                  <c:v>31.478999999999999</c:v>
                </c:pt>
                <c:pt idx="31">
                  <c:v>31.521000000000001</c:v>
                </c:pt>
                <c:pt idx="32">
                  <c:v>33.579000000000001</c:v>
                </c:pt>
                <c:pt idx="33">
                  <c:v>33.621000000000002</c:v>
                </c:pt>
                <c:pt idx="34">
                  <c:v>35.679000000000002</c:v>
                </c:pt>
                <c:pt idx="35">
                  <c:v>35.721000000000004</c:v>
                </c:pt>
                <c:pt idx="36">
                  <c:v>37.779000000000003</c:v>
                </c:pt>
                <c:pt idx="37">
                  <c:v>37.821000000000005</c:v>
                </c:pt>
                <c:pt idx="38">
                  <c:v>39.878999999999998</c:v>
                </c:pt>
                <c:pt idx="39">
                  <c:v>39.920999999999999</c:v>
                </c:pt>
                <c:pt idx="40">
                  <c:v>41.978999999999999</c:v>
                </c:pt>
                <c:pt idx="41">
                  <c:v>42.021000000000001</c:v>
                </c:pt>
                <c:pt idx="42">
                  <c:v>44.079000000000001</c:v>
                </c:pt>
                <c:pt idx="43">
                  <c:v>44.121000000000002</c:v>
                </c:pt>
                <c:pt idx="44">
                  <c:v>46.179000000000002</c:v>
                </c:pt>
                <c:pt idx="45">
                  <c:v>46.221000000000004</c:v>
                </c:pt>
                <c:pt idx="46">
                  <c:v>48.279000000000003</c:v>
                </c:pt>
                <c:pt idx="47">
                  <c:v>48.321000000000005</c:v>
                </c:pt>
                <c:pt idx="48">
                  <c:v>50.379000000000005</c:v>
                </c:pt>
                <c:pt idx="49">
                  <c:v>50.421000000000006</c:v>
                </c:pt>
                <c:pt idx="50">
                  <c:v>52.478999999999999</c:v>
                </c:pt>
                <c:pt idx="51">
                  <c:v>52.521000000000001</c:v>
                </c:pt>
              </c:numCache>
            </c:numRef>
          </c:xVal>
          <c:yVal>
            <c:numRef>
              <c:f>Arsen!$U$46:$U$97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4.6457607433217189E-2</c:v>
                </c:pt>
                <c:pt idx="8">
                  <c:v>4.6457607433217189E-2</c:v>
                </c:pt>
                <c:pt idx="9">
                  <c:v>8.1300813008130079E-2</c:v>
                </c:pt>
                <c:pt idx="10">
                  <c:v>8.1300813008130079E-2</c:v>
                </c:pt>
                <c:pt idx="11">
                  <c:v>0.29036004645760743</c:v>
                </c:pt>
                <c:pt idx="12">
                  <c:v>0.29036004645760743</c:v>
                </c:pt>
                <c:pt idx="13">
                  <c:v>3.484320557491289E-2</c:v>
                </c:pt>
                <c:pt idx="14">
                  <c:v>3.484320557491289E-2</c:v>
                </c:pt>
                <c:pt idx="15">
                  <c:v>1.1614401858304297E-2</c:v>
                </c:pt>
                <c:pt idx="16">
                  <c:v>1.1614401858304297E-2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1.1614401858304297E-2</c:v>
                </c:pt>
                <c:pt idx="50">
                  <c:v>1.1614401858304297E-2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10-490E-B624-6B2FA71EA2BC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Arsen!$U$3:$V$3</c:f>
              <c:numCache>
                <c:formatCode>0.000</c:formatCode>
                <c:ptCount val="2"/>
                <c:pt idx="0">
                  <c:v>23.174083975872854</c:v>
                </c:pt>
                <c:pt idx="1">
                  <c:v>23.174083975872854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10-490E-B624-6B2FA71EA2BC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Arsen!$U$4:$V$4</c:f>
              <c:numCache>
                <c:formatCode>0.000</c:formatCode>
                <c:ptCount val="2"/>
                <c:pt idx="0">
                  <c:v>16.685406577366887</c:v>
                </c:pt>
                <c:pt idx="1">
                  <c:v>16.685406577366887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10-490E-B624-6B2FA71EA2BC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Arsen!$U$5:$V$5</c:f>
              <c:numCache>
                <c:formatCode>0.000</c:formatCode>
                <c:ptCount val="2"/>
                <c:pt idx="0">
                  <c:v>25.607588128898264</c:v>
                </c:pt>
                <c:pt idx="1">
                  <c:v>25.607588128898264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10-490E-B624-6B2FA71EA2BC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Arsen!$U$6:$V$6</c:f>
              <c:numCache>
                <c:formatCode>0.000</c:formatCode>
                <c:ptCount val="2"/>
                <c:pt idx="0">
                  <c:v>19.281690549716693</c:v>
                </c:pt>
                <c:pt idx="1">
                  <c:v>19.281690549716693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10-490E-B624-6B2FA71EA2BC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Arsen!$U$7:$V$7</c:f>
              <c:numCache>
                <c:formatCode>0.000</c:formatCode>
                <c:ptCount val="2"/>
                <c:pt idx="0">
                  <c:v>-2.8618888539216343</c:v>
                </c:pt>
                <c:pt idx="1">
                  <c:v>-2.8618888539216343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10-490E-B624-6B2FA71EA2BC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Arsen!$U$8:$V$8</c:f>
              <c:numCache>
                <c:formatCode>0.000</c:formatCode>
                <c:ptCount val="2"/>
                <c:pt idx="0">
                  <c:v>1.539552561613474</c:v>
                </c:pt>
                <c:pt idx="1">
                  <c:v>1.539552561613474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10-490E-B624-6B2FA71EA2BC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Arsen!$U$11:$V$11</c:f>
              <c:numCache>
                <c:formatCode>0.000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xVal>
          <c:yVal>
            <c:numRef>
              <c:f>Arsen!$U$2:$V$2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10-490E-B624-6B2FA71EA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27904"/>
        <c:axId val="150450176"/>
      </c:scatterChart>
      <c:valAx>
        <c:axId val="150427904"/>
        <c:scaling>
          <c:orientation val="minMax"/>
          <c:max val="2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450176"/>
        <c:crosses val="autoZero"/>
        <c:crossBetween val="midCat"/>
        <c:majorUnit val="5"/>
        <c:minorUnit val="1"/>
      </c:valAx>
      <c:valAx>
        <c:axId val="150450176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0427904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eLF!$M$3:$M$252</c:f>
              <c:numCache>
                <c:formatCode>d/m/yyyy;@</c:formatCode>
                <c:ptCount val="250"/>
                <c:pt idx="0">
                  <c:v>36769</c:v>
                </c:pt>
                <c:pt idx="1">
                  <c:v>36895</c:v>
                </c:pt>
                <c:pt idx="2">
                  <c:v>37333</c:v>
                </c:pt>
                <c:pt idx="3">
                  <c:v>37540</c:v>
                </c:pt>
                <c:pt idx="4">
                  <c:v>37677</c:v>
                </c:pt>
                <c:pt idx="5">
                  <c:v>37852</c:v>
                </c:pt>
                <c:pt idx="6">
                  <c:v>38055</c:v>
                </c:pt>
                <c:pt idx="7">
                  <c:v>38264</c:v>
                </c:pt>
                <c:pt idx="8">
                  <c:v>38421</c:v>
                </c:pt>
                <c:pt idx="9">
                  <c:v>38631</c:v>
                </c:pt>
                <c:pt idx="10">
                  <c:v>38747</c:v>
                </c:pt>
                <c:pt idx="11">
                  <c:v>38944</c:v>
                </c:pt>
                <c:pt idx="12">
                  <c:v>39115</c:v>
                </c:pt>
                <c:pt idx="13">
                  <c:v>39318</c:v>
                </c:pt>
                <c:pt idx="14">
                  <c:v>39492</c:v>
                </c:pt>
                <c:pt idx="15">
                  <c:v>39723</c:v>
                </c:pt>
                <c:pt idx="16">
                  <c:v>39842</c:v>
                </c:pt>
                <c:pt idx="17">
                  <c:v>40024</c:v>
                </c:pt>
                <c:pt idx="18">
                  <c:v>40198</c:v>
                </c:pt>
                <c:pt idx="19">
                  <c:v>40329</c:v>
                </c:pt>
                <c:pt idx="20">
                  <c:v>40409</c:v>
                </c:pt>
                <c:pt idx="21">
                  <c:v>40487</c:v>
                </c:pt>
                <c:pt idx="22">
                  <c:v>40639</c:v>
                </c:pt>
                <c:pt idx="23">
                  <c:v>40744</c:v>
                </c:pt>
                <c:pt idx="24">
                  <c:v>40799</c:v>
                </c:pt>
                <c:pt idx="25">
                  <c:v>40898</c:v>
                </c:pt>
                <c:pt idx="26">
                  <c:v>40977</c:v>
                </c:pt>
                <c:pt idx="27">
                  <c:v>41086</c:v>
                </c:pt>
                <c:pt idx="28">
                  <c:v>41164</c:v>
                </c:pt>
                <c:pt idx="29">
                  <c:v>41248</c:v>
                </c:pt>
                <c:pt idx="30">
                  <c:v>41338</c:v>
                </c:pt>
                <c:pt idx="31">
                  <c:v>41429</c:v>
                </c:pt>
                <c:pt idx="32">
                  <c:v>41516</c:v>
                </c:pt>
                <c:pt idx="33">
                  <c:v>41617</c:v>
                </c:pt>
                <c:pt idx="34">
                  <c:v>41696</c:v>
                </c:pt>
                <c:pt idx="35">
                  <c:v>41813</c:v>
                </c:pt>
                <c:pt idx="36">
                  <c:v>41886</c:v>
                </c:pt>
                <c:pt idx="37">
                  <c:v>41975</c:v>
                </c:pt>
                <c:pt idx="38">
                  <c:v>42046</c:v>
                </c:pt>
                <c:pt idx="39">
                  <c:v>42156</c:v>
                </c:pt>
                <c:pt idx="40">
                  <c:v>42254</c:v>
                </c:pt>
                <c:pt idx="41">
                  <c:v>42332</c:v>
                </c:pt>
                <c:pt idx="42">
                  <c:v>42403</c:v>
                </c:pt>
                <c:pt idx="43">
                  <c:v>42508</c:v>
                </c:pt>
                <c:pt idx="44">
                  <c:v>42579</c:v>
                </c:pt>
                <c:pt idx="45">
                  <c:v>42696</c:v>
                </c:pt>
              </c:numCache>
            </c:numRef>
          </c:xVal>
          <c:yVal>
            <c:numRef>
              <c:f>eLF!$N$3:$N$252</c:f>
              <c:numCache>
                <c:formatCode>General</c:formatCode>
                <c:ptCount val="250"/>
                <c:pt idx="0">
                  <c:v>108</c:v>
                </c:pt>
                <c:pt idx="1">
                  <c:v>99</c:v>
                </c:pt>
                <c:pt idx="2">
                  <c:v>66</c:v>
                </c:pt>
                <c:pt idx="3">
                  <c:v>84</c:v>
                </c:pt>
                <c:pt idx="4">
                  <c:v>81</c:v>
                </c:pt>
                <c:pt idx="5">
                  <c:v>91</c:v>
                </c:pt>
                <c:pt idx="6">
                  <c:v>82</c:v>
                </c:pt>
                <c:pt idx="7">
                  <c:v>83</c:v>
                </c:pt>
                <c:pt idx="8">
                  <c:v>77</c:v>
                </c:pt>
                <c:pt idx="9">
                  <c:v>85</c:v>
                </c:pt>
                <c:pt idx="10">
                  <c:v>86</c:v>
                </c:pt>
                <c:pt idx="11">
                  <c:v>81</c:v>
                </c:pt>
                <c:pt idx="12">
                  <c:v>82</c:v>
                </c:pt>
                <c:pt idx="13">
                  <c:v>81</c:v>
                </c:pt>
                <c:pt idx="14">
                  <c:v>82</c:v>
                </c:pt>
                <c:pt idx="15">
                  <c:v>75</c:v>
                </c:pt>
                <c:pt idx="16">
                  <c:v>70</c:v>
                </c:pt>
                <c:pt idx="17">
                  <c:v>75</c:v>
                </c:pt>
                <c:pt idx="18">
                  <c:v>82</c:v>
                </c:pt>
                <c:pt idx="19">
                  <c:v>82.6</c:v>
                </c:pt>
                <c:pt idx="20">
                  <c:v>81</c:v>
                </c:pt>
                <c:pt idx="21">
                  <c:v>87.2</c:v>
                </c:pt>
                <c:pt idx="22">
                  <c:v>100.9</c:v>
                </c:pt>
                <c:pt idx="23">
                  <c:v>85.6</c:v>
                </c:pt>
                <c:pt idx="24">
                  <c:v>93.7</c:v>
                </c:pt>
                <c:pt idx="25">
                  <c:v>107.1</c:v>
                </c:pt>
                <c:pt idx="26">
                  <c:v>96.6</c:v>
                </c:pt>
                <c:pt idx="27">
                  <c:v>101.8</c:v>
                </c:pt>
                <c:pt idx="28">
                  <c:v>97.6</c:v>
                </c:pt>
                <c:pt idx="29">
                  <c:v>91.8</c:v>
                </c:pt>
                <c:pt idx="30">
                  <c:v>99.4</c:v>
                </c:pt>
                <c:pt idx="31">
                  <c:v>100</c:v>
                </c:pt>
                <c:pt idx="32">
                  <c:v>86.4</c:v>
                </c:pt>
                <c:pt idx="33">
                  <c:v>84.8</c:v>
                </c:pt>
                <c:pt idx="34">
                  <c:v>99.1</c:v>
                </c:pt>
                <c:pt idx="35">
                  <c:v>91.4</c:v>
                </c:pt>
                <c:pt idx="36">
                  <c:v>88.5</c:v>
                </c:pt>
                <c:pt idx="37">
                  <c:v>87.4</c:v>
                </c:pt>
                <c:pt idx="38">
                  <c:v>106</c:v>
                </c:pt>
                <c:pt idx="39">
                  <c:v>95</c:v>
                </c:pt>
                <c:pt idx="40">
                  <c:v>77</c:v>
                </c:pt>
                <c:pt idx="41">
                  <c:v>75.7</c:v>
                </c:pt>
                <c:pt idx="42">
                  <c:v>101.1</c:v>
                </c:pt>
                <c:pt idx="43">
                  <c:v>95</c:v>
                </c:pt>
                <c:pt idx="44">
                  <c:v>94.2</c:v>
                </c:pt>
                <c:pt idx="45">
                  <c:v>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6-4012-BF2F-9F0E3575A43C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eLF!$E$57:$E$58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eLF!$F$57:$F$58</c:f>
              <c:numCache>
                <c:formatCode>0.000</c:formatCode>
                <c:ptCount val="2"/>
                <c:pt idx="0">
                  <c:v>108.09874053394955</c:v>
                </c:pt>
                <c:pt idx="1">
                  <c:v>108.09874053394955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6-4012-BF2F-9F0E3575A43C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eLF!$E$57:$E$58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eLF!$J$57:$J$58</c:f>
              <c:numCache>
                <c:formatCode>0.000</c:formatCode>
                <c:ptCount val="2"/>
                <c:pt idx="0">
                  <c:v>106.02729225725813</c:v>
                </c:pt>
                <c:pt idx="1">
                  <c:v>106.02729225725813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26-4012-BF2F-9F0E3575A43C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eLF!$G$122:$G$123</c:f>
              <c:numCache>
                <c:formatCode>d/m/yyyy;@</c:formatCode>
                <c:ptCount val="2"/>
                <c:pt idx="0">
                  <c:v>66</c:v>
                </c:pt>
                <c:pt idx="1">
                  <c:v>42696</c:v>
                </c:pt>
              </c:numCache>
            </c:numRef>
          </c:xVal>
          <c:yVal>
            <c:numRef>
              <c:f>eLF!$I$122:$I$123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26-4012-BF2F-9F0E3575A43C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eLF!$G$122:$G$123</c:f>
              <c:numCache>
                <c:formatCode>d/m/yyyy;@</c:formatCode>
                <c:ptCount val="2"/>
                <c:pt idx="0">
                  <c:v>66</c:v>
                </c:pt>
                <c:pt idx="1">
                  <c:v>42696</c:v>
                </c:pt>
              </c:numCache>
            </c:numRef>
          </c:xVal>
          <c:yVal>
            <c:numRef>
              <c:f>eLF!$J$122:$J$123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26-4012-BF2F-9F0E3575A43C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eLF!$E$57:$E$58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eLF!$G$57:$G$58</c:f>
              <c:numCache>
                <c:formatCode>0.000</c:formatCode>
                <c:ptCount val="2"/>
                <c:pt idx="0">
                  <c:v>67.983868161702617</c:v>
                </c:pt>
                <c:pt idx="1">
                  <c:v>67.983868161702617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26-4012-BF2F-9F0E3575A43C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eLF!$E$57:$E$58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eLF!$H$57:$H$58</c:f>
              <c:numCache>
                <c:formatCode>0.000</c:formatCode>
                <c:ptCount val="2"/>
                <c:pt idx="0">
                  <c:v>111.84815712591325</c:v>
                </c:pt>
                <c:pt idx="1">
                  <c:v>111.84815712591325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626-4012-BF2F-9F0E3575A43C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eLF!$E$57:$E$58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51501</c:v>
                </c:pt>
              </c:numCache>
            </c:numRef>
          </c:xVal>
          <c:yVal>
            <c:numRef>
              <c:f>eLF!$K$57:$K$58</c:f>
              <c:numCache>
                <c:formatCode>0.000</c:formatCode>
                <c:ptCount val="2"/>
                <c:pt idx="0">
                  <c:v>111.22592689457034</c:v>
                </c:pt>
                <c:pt idx="1">
                  <c:v>111.22592689457034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626-4012-BF2F-9F0E3575A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93376"/>
        <c:axId val="132707456"/>
      </c:scatterChart>
      <c:valAx>
        <c:axId val="132693376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2707456"/>
        <c:crossesAt val="0"/>
        <c:crossBetween val="midCat"/>
        <c:majorUnit val="1461"/>
        <c:minorUnit val="365.25"/>
      </c:valAx>
      <c:valAx>
        <c:axId val="132707456"/>
        <c:scaling>
          <c:orientation val="minMax"/>
          <c:max val="150"/>
          <c:min val="5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2693376"/>
        <c:crossesAt val="0"/>
        <c:crossBetween val="midCat"/>
        <c:majorUnit val="5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Arsen!$M$3:$M$252</c:f>
              <c:numCache>
                <c:formatCode>d/m/yyyy;@</c:formatCode>
                <c:ptCount val="250"/>
                <c:pt idx="0">
                  <c:v>35830</c:v>
                </c:pt>
                <c:pt idx="1">
                  <c:v>35920</c:v>
                </c:pt>
                <c:pt idx="2">
                  <c:v>36012</c:v>
                </c:pt>
                <c:pt idx="3">
                  <c:v>36102</c:v>
                </c:pt>
                <c:pt idx="4">
                  <c:v>36284</c:v>
                </c:pt>
                <c:pt idx="5">
                  <c:v>36375</c:v>
                </c:pt>
                <c:pt idx="6">
                  <c:v>36467</c:v>
                </c:pt>
                <c:pt idx="7">
                  <c:v>36564</c:v>
                </c:pt>
                <c:pt idx="8">
                  <c:v>36657</c:v>
                </c:pt>
                <c:pt idx="9">
                  <c:v>36740</c:v>
                </c:pt>
                <c:pt idx="10">
                  <c:v>36846</c:v>
                </c:pt>
                <c:pt idx="11">
                  <c:v>36928</c:v>
                </c:pt>
                <c:pt idx="12">
                  <c:v>37022</c:v>
                </c:pt>
                <c:pt idx="13">
                  <c:v>37104</c:v>
                </c:pt>
                <c:pt idx="14">
                  <c:v>37201</c:v>
                </c:pt>
                <c:pt idx="15">
                  <c:v>37292</c:v>
                </c:pt>
                <c:pt idx="16">
                  <c:v>37369</c:v>
                </c:pt>
                <c:pt idx="17">
                  <c:v>37466</c:v>
                </c:pt>
                <c:pt idx="18">
                  <c:v>37565</c:v>
                </c:pt>
                <c:pt idx="19">
                  <c:v>37656</c:v>
                </c:pt>
                <c:pt idx="20">
                  <c:v>37768</c:v>
                </c:pt>
                <c:pt idx="21">
                  <c:v>37846</c:v>
                </c:pt>
                <c:pt idx="22">
                  <c:v>37935</c:v>
                </c:pt>
                <c:pt idx="23">
                  <c:v>38020</c:v>
                </c:pt>
                <c:pt idx="24">
                  <c:v>38111</c:v>
                </c:pt>
                <c:pt idx="25">
                  <c:v>38204</c:v>
                </c:pt>
                <c:pt idx="26">
                  <c:v>38313</c:v>
                </c:pt>
                <c:pt idx="27">
                  <c:v>38384</c:v>
                </c:pt>
                <c:pt idx="28">
                  <c:v>38481</c:v>
                </c:pt>
                <c:pt idx="29">
                  <c:v>38560</c:v>
                </c:pt>
                <c:pt idx="30">
                  <c:v>38659</c:v>
                </c:pt>
                <c:pt idx="31">
                  <c:v>38748</c:v>
                </c:pt>
                <c:pt idx="32">
                  <c:v>38842</c:v>
                </c:pt>
                <c:pt idx="33">
                  <c:v>38948</c:v>
                </c:pt>
                <c:pt idx="34">
                  <c:v>39021</c:v>
                </c:pt>
                <c:pt idx="35">
                  <c:v>39205</c:v>
                </c:pt>
                <c:pt idx="36">
                  <c:v>39392</c:v>
                </c:pt>
                <c:pt idx="37">
                  <c:v>39478</c:v>
                </c:pt>
                <c:pt idx="38">
                  <c:v>39940</c:v>
                </c:pt>
                <c:pt idx="39">
                  <c:v>41410</c:v>
                </c:pt>
                <c:pt idx="40">
                  <c:v>42132</c:v>
                </c:pt>
              </c:numCache>
            </c:numRef>
          </c:xVal>
          <c:yVal>
            <c:numRef>
              <c:f>Arsen!$N$3:$N$252</c:f>
              <c:numCache>
                <c:formatCode>General</c:formatCode>
                <c:ptCount val="25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50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8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10</c:v>
                </c:pt>
                <c:pt idx="16">
                  <c:v>5</c:v>
                </c:pt>
                <c:pt idx="17">
                  <c:v>10</c:v>
                </c:pt>
                <c:pt idx="18">
                  <c:v>5</c:v>
                </c:pt>
                <c:pt idx="19">
                  <c:v>8.9</c:v>
                </c:pt>
                <c:pt idx="20">
                  <c:v>5.4</c:v>
                </c:pt>
                <c:pt idx="21">
                  <c:v>14</c:v>
                </c:pt>
                <c:pt idx="22">
                  <c:v>9</c:v>
                </c:pt>
                <c:pt idx="23">
                  <c:v>7</c:v>
                </c:pt>
                <c:pt idx="24">
                  <c:v>8</c:v>
                </c:pt>
                <c:pt idx="25">
                  <c:v>10</c:v>
                </c:pt>
                <c:pt idx="26">
                  <c:v>9</c:v>
                </c:pt>
                <c:pt idx="27">
                  <c:v>9</c:v>
                </c:pt>
                <c:pt idx="28">
                  <c:v>7</c:v>
                </c:pt>
                <c:pt idx="29">
                  <c:v>10</c:v>
                </c:pt>
                <c:pt idx="30">
                  <c:v>7</c:v>
                </c:pt>
                <c:pt idx="31">
                  <c:v>12</c:v>
                </c:pt>
                <c:pt idx="32">
                  <c:v>8.4</c:v>
                </c:pt>
                <c:pt idx="33">
                  <c:v>10</c:v>
                </c:pt>
                <c:pt idx="34">
                  <c:v>8.6999999999999993</c:v>
                </c:pt>
                <c:pt idx="35">
                  <c:v>10</c:v>
                </c:pt>
                <c:pt idx="36">
                  <c:v>8</c:v>
                </c:pt>
                <c:pt idx="37">
                  <c:v>10</c:v>
                </c:pt>
                <c:pt idx="38">
                  <c:v>10</c:v>
                </c:pt>
                <c:pt idx="39">
                  <c:v>5</c:v>
                </c:pt>
                <c:pt idx="4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BD-43C4-BEBF-0D0B9AABB69B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Arsen!$E$57:$E$58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Arsen!$F$57:$F$58</c:f>
              <c:numCache>
                <c:formatCode>0.000</c:formatCode>
                <c:ptCount val="2"/>
                <c:pt idx="0">
                  <c:v>23.174083975872854</c:v>
                </c:pt>
                <c:pt idx="1">
                  <c:v>23.174083975872854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BD-43C4-BEBF-0D0B9AABB69B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Arsen!$E$57:$E$58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Arsen!$J$57:$J$58</c:f>
              <c:numCache>
                <c:formatCode>0.000</c:formatCode>
                <c:ptCount val="2"/>
                <c:pt idx="0">
                  <c:v>16.685406577366887</c:v>
                </c:pt>
                <c:pt idx="1">
                  <c:v>16.685406577366887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BD-43C4-BEBF-0D0B9AABB69B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Arsen!$G$122:$G$123</c:f>
              <c:numCache>
                <c:formatCode>d/m/yyyy;@</c:formatCode>
                <c:ptCount val="2"/>
                <c:pt idx="0">
                  <c:v>5</c:v>
                </c:pt>
                <c:pt idx="1">
                  <c:v>42132</c:v>
                </c:pt>
              </c:numCache>
            </c:numRef>
          </c:xVal>
          <c:yVal>
            <c:numRef>
              <c:f>Arsen!$I$122:$I$123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BD-43C4-BEBF-0D0B9AABB69B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Arsen!$G$122:$G$123</c:f>
              <c:numCache>
                <c:formatCode>d/m/yyyy;@</c:formatCode>
                <c:ptCount val="2"/>
                <c:pt idx="0">
                  <c:v>5</c:v>
                </c:pt>
                <c:pt idx="1">
                  <c:v>42132</c:v>
                </c:pt>
              </c:numCache>
            </c:numRef>
          </c:xVal>
          <c:yVal>
            <c:numRef>
              <c:f>Arsen!$J$122:$J$123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BD-43C4-BEBF-0D0B9AABB69B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Arsen!$E$57:$E$58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Arsen!$G$57:$G$58</c:f>
              <c:numCache>
                <c:formatCode>0.000</c:formatCode>
                <c:ptCount val="2"/>
                <c:pt idx="0">
                  <c:v>-2.8618888539216343</c:v>
                </c:pt>
                <c:pt idx="1">
                  <c:v>-2.8618888539216343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BD-43C4-BEBF-0D0B9AABB69B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Arsen!$E$57:$E$58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Arsen!$H$57:$H$58</c:f>
              <c:numCache>
                <c:formatCode>0.000</c:formatCode>
                <c:ptCount val="2"/>
                <c:pt idx="0">
                  <c:v>25.607588128898264</c:v>
                </c:pt>
                <c:pt idx="1">
                  <c:v>25.607588128898264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BD-43C4-BEBF-0D0B9AABB69B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Arsen!$E$57:$E$58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Arsen!$K$57:$K$58</c:f>
              <c:numCache>
                <c:formatCode>0.000</c:formatCode>
                <c:ptCount val="2"/>
                <c:pt idx="0">
                  <c:v>19.281690549716693</c:v>
                </c:pt>
                <c:pt idx="1">
                  <c:v>19.281690549716693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BD-43C4-BEBF-0D0B9AAB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21952"/>
        <c:axId val="153823488"/>
      </c:scatterChart>
      <c:valAx>
        <c:axId val="15382195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823488"/>
        <c:crossesAt val="0"/>
        <c:crossBetween val="midCat"/>
        <c:majorUnit val="1461"/>
        <c:minorUnit val="365.25"/>
      </c:valAx>
      <c:valAx>
        <c:axId val="15382348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3821952"/>
        <c:crossesAt val="0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Blei!$F$63:$F$113</c:f>
              <c:numCache>
                <c:formatCode>General</c:formatCode>
                <c:ptCount val="51"/>
                <c:pt idx="0">
                  <c:v>-29.755906374084315</c:v>
                </c:pt>
                <c:pt idx="1">
                  <c:v>-28.306170119120939</c:v>
                </c:pt>
                <c:pt idx="2">
                  <c:v>-26.85643386415757</c:v>
                </c:pt>
                <c:pt idx="3">
                  <c:v>-25.4066976091942</c:v>
                </c:pt>
                <c:pt idx="4">
                  <c:v>-23.956961354230824</c:v>
                </c:pt>
                <c:pt idx="5">
                  <c:v>-22.507225099267451</c:v>
                </c:pt>
                <c:pt idx="6">
                  <c:v>-21.057488844304078</c:v>
                </c:pt>
                <c:pt idx="7">
                  <c:v>-19.607752589340706</c:v>
                </c:pt>
                <c:pt idx="8">
                  <c:v>-18.158016334377333</c:v>
                </c:pt>
                <c:pt idx="9">
                  <c:v>-16.708280079413964</c:v>
                </c:pt>
                <c:pt idx="10">
                  <c:v>-15.258543824450587</c:v>
                </c:pt>
                <c:pt idx="11">
                  <c:v>-13.808807569487215</c:v>
                </c:pt>
                <c:pt idx="12">
                  <c:v>-12.359071314523845</c:v>
                </c:pt>
                <c:pt idx="13">
                  <c:v>-10.909335059560469</c:v>
                </c:pt>
                <c:pt idx="14">
                  <c:v>-9.4595988045970998</c:v>
                </c:pt>
                <c:pt idx="15">
                  <c:v>-8.0098625496337252</c:v>
                </c:pt>
                <c:pt idx="16">
                  <c:v>-6.5601262946703525</c:v>
                </c:pt>
                <c:pt idx="17">
                  <c:v>-5.1103900397069815</c:v>
                </c:pt>
                <c:pt idx="18">
                  <c:v>-3.6606537847436069</c:v>
                </c:pt>
                <c:pt idx="19">
                  <c:v>-2.2109175297802341</c:v>
                </c:pt>
                <c:pt idx="20">
                  <c:v>-0.76118127481686226</c:v>
                </c:pt>
                <c:pt idx="21">
                  <c:v>0.68855498014650962</c:v>
                </c:pt>
                <c:pt idx="22">
                  <c:v>2.1382912351098833</c:v>
                </c:pt>
                <c:pt idx="23">
                  <c:v>3.5880274900732552</c:v>
                </c:pt>
                <c:pt idx="24">
                  <c:v>5.0377637450366279</c:v>
                </c:pt>
                <c:pt idx="25">
                  <c:v>6.4875000000000007</c:v>
                </c:pt>
                <c:pt idx="26">
                  <c:v>7.9372362549633735</c:v>
                </c:pt>
                <c:pt idx="27">
                  <c:v>9.3869725099267463</c:v>
                </c:pt>
                <c:pt idx="28">
                  <c:v>10.836708764890119</c:v>
                </c:pt>
                <c:pt idx="29">
                  <c:v>12.286445019853563</c:v>
                </c:pt>
                <c:pt idx="30">
                  <c:v>13.736181274816936</c:v>
                </c:pt>
                <c:pt idx="31">
                  <c:v>15.185917529780308</c:v>
                </c:pt>
                <c:pt idx="32">
                  <c:v>16.635653784743681</c:v>
                </c:pt>
                <c:pt idx="33">
                  <c:v>18.085390039707054</c:v>
                </c:pt>
                <c:pt idx="34">
                  <c:v>19.535126294670427</c:v>
                </c:pt>
                <c:pt idx="35">
                  <c:v>20.984862549633803</c:v>
                </c:pt>
                <c:pt idx="36">
                  <c:v>22.434598804597172</c:v>
                </c:pt>
                <c:pt idx="37">
                  <c:v>23.884335059560545</c:v>
                </c:pt>
                <c:pt idx="38">
                  <c:v>25.334071314523914</c:v>
                </c:pt>
                <c:pt idx="39">
                  <c:v>26.783807569487291</c:v>
                </c:pt>
                <c:pt idx="40">
                  <c:v>28.233543824450663</c:v>
                </c:pt>
                <c:pt idx="41">
                  <c:v>29.683280079414033</c:v>
                </c:pt>
                <c:pt idx="42">
                  <c:v>31.133016334377409</c:v>
                </c:pt>
                <c:pt idx="43">
                  <c:v>32.582752589340778</c:v>
                </c:pt>
                <c:pt idx="44">
                  <c:v>34.032488844304154</c:v>
                </c:pt>
                <c:pt idx="45">
                  <c:v>35.482225099267524</c:v>
                </c:pt>
                <c:pt idx="46">
                  <c:v>36.931961354230893</c:v>
                </c:pt>
                <c:pt idx="47">
                  <c:v>38.381697609194276</c:v>
                </c:pt>
                <c:pt idx="48">
                  <c:v>39.831433864157646</c:v>
                </c:pt>
                <c:pt idx="49">
                  <c:v>41.281170119121015</c:v>
                </c:pt>
                <c:pt idx="50">
                  <c:v>42.730906374084313</c:v>
                </c:pt>
              </c:numCache>
            </c:numRef>
          </c:xVal>
          <c:yVal>
            <c:numRef>
              <c:f>Blei!$G$63:$G$113</c:f>
              <c:numCache>
                <c:formatCode>General</c:formatCode>
                <c:ptCount val="51"/>
                <c:pt idx="0">
                  <c:v>2.0510206730973415E-7</c:v>
                </c:pt>
                <c:pt idx="1">
                  <c:v>5.4648548347604887E-7</c:v>
                </c:pt>
                <c:pt idx="2">
                  <c:v>1.3989926830853751E-6</c:v>
                </c:pt>
                <c:pt idx="3">
                  <c:v>3.4409667558025861E-6</c:v>
                </c:pt>
                <c:pt idx="4">
                  <c:v>8.1315573856610272E-6</c:v>
                </c:pt>
                <c:pt idx="5">
                  <c:v>1.84626997230288E-5</c:v>
                </c:pt>
                <c:pt idx="6">
                  <c:v>4.0275867392008666E-5</c:v>
                </c:pt>
                <c:pt idx="7">
                  <c:v>8.4415620843976419E-5</c:v>
                </c:pt>
                <c:pt idx="8">
                  <c:v>1.6999218502735891E-4</c:v>
                </c:pt>
                <c:pt idx="9">
                  <c:v>3.2889957649918526E-4</c:v>
                </c:pt>
                <c:pt idx="10">
                  <c:v>6.1140064570572219E-4</c:v>
                </c:pt>
                <c:pt idx="11">
                  <c:v>1.0919850498158302E-3</c:v>
                </c:pt>
                <c:pt idx="12">
                  <c:v>1.8738538388872361E-3</c:v>
                </c:pt>
                <c:pt idx="13">
                  <c:v>3.0894626823564806E-3</c:v>
                </c:pt>
                <c:pt idx="14">
                  <c:v>4.8939374627321687E-3</c:v>
                </c:pt>
                <c:pt idx="15">
                  <c:v>7.4483846738801649E-3</c:v>
                </c:pt>
                <c:pt idx="16">
                  <c:v>1.0891658124793025E-2</c:v>
                </c:pt>
                <c:pt idx="17">
                  <c:v>1.530220883967035E-2</c:v>
                </c:pt>
                <c:pt idx="18">
                  <c:v>2.06558213775964E-2</c:v>
                </c:pt>
                <c:pt idx="19">
                  <c:v>2.6789156209398798E-2</c:v>
                </c:pt>
                <c:pt idx="20">
                  <c:v>3.3381344184602285E-2</c:v>
                </c:pt>
                <c:pt idx="21">
                  <c:v>3.9964724862151114E-2</c:v>
                </c:pt>
                <c:pt idx="22">
                  <c:v>4.5970375887470445E-2</c:v>
                </c:pt>
                <c:pt idx="23">
                  <c:v>5.0805122523838328E-2</c:v>
                </c:pt>
                <c:pt idx="24">
                  <c:v>5.394673584752635E-2</c:v>
                </c:pt>
                <c:pt idx="25">
                  <c:v>5.503653220171581E-2</c:v>
                </c:pt>
                <c:pt idx="26">
                  <c:v>5.394673584752635E-2</c:v>
                </c:pt>
                <c:pt idx="27">
                  <c:v>5.0805122523838328E-2</c:v>
                </c:pt>
                <c:pt idx="28">
                  <c:v>4.5970375887470445E-2</c:v>
                </c:pt>
                <c:pt idx="29">
                  <c:v>3.9964724862150802E-2</c:v>
                </c:pt>
                <c:pt idx="30">
                  <c:v>3.3381344184601945E-2</c:v>
                </c:pt>
                <c:pt idx="31">
                  <c:v>2.6789156209398476E-2</c:v>
                </c:pt>
                <c:pt idx="32">
                  <c:v>2.0655821377596112E-2</c:v>
                </c:pt>
                <c:pt idx="33">
                  <c:v>1.5302208839670107E-2</c:v>
                </c:pt>
                <c:pt idx="34">
                  <c:v>1.0891658124792831E-2</c:v>
                </c:pt>
                <c:pt idx="35">
                  <c:v>7.4483846738800071E-3</c:v>
                </c:pt>
                <c:pt idx="36">
                  <c:v>4.8939374627320646E-3</c:v>
                </c:pt>
                <c:pt idx="37">
                  <c:v>3.0894626823564056E-3</c:v>
                </c:pt>
                <c:pt idx="38">
                  <c:v>1.8738538388871925E-3</c:v>
                </c:pt>
                <c:pt idx="39">
                  <c:v>1.0919850498157992E-3</c:v>
                </c:pt>
                <c:pt idx="40">
                  <c:v>6.1140064570570376E-4</c:v>
                </c:pt>
                <c:pt idx="41">
                  <c:v>3.2889957649917561E-4</c:v>
                </c:pt>
                <c:pt idx="42">
                  <c:v>1.69992185027353E-4</c:v>
                </c:pt>
                <c:pt idx="43">
                  <c:v>8.4415620843973491E-5</c:v>
                </c:pt>
                <c:pt idx="44">
                  <c:v>4.0275867392007053E-5</c:v>
                </c:pt>
                <c:pt idx="45">
                  <c:v>1.8462699723028079E-5</c:v>
                </c:pt>
                <c:pt idx="46">
                  <c:v>8.1315573856607239E-6</c:v>
                </c:pt>
                <c:pt idx="47">
                  <c:v>3.4409667558024273E-6</c:v>
                </c:pt>
                <c:pt idx="48">
                  <c:v>1.3989926830853006E-6</c:v>
                </c:pt>
                <c:pt idx="49">
                  <c:v>5.464854834760206E-7</c:v>
                </c:pt>
                <c:pt idx="50">
                  <c:v>2.0510206730973415E-7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9E-4446-9E96-DCD71F8C89F7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Blei!$I$63:$I$113</c:f>
              <c:numCache>
                <c:formatCode>General</c:formatCode>
                <c:ptCount val="51"/>
                <c:pt idx="0">
                  <c:v>8.2153744696448275E-3</c:v>
                </c:pt>
                <c:pt idx="1">
                  <c:v>1.0440248500244428E-2</c:v>
                </c:pt>
                <c:pt idx="2">
                  <c:v>1.3267659210130728E-2</c:v>
                </c:pt>
                <c:pt idx="3">
                  <c:v>1.6860784579221973E-2</c:v>
                </c:pt>
                <c:pt idx="4">
                  <c:v>2.1426994176173796E-2</c:v>
                </c:pt>
                <c:pt idx="5">
                  <c:v>2.7229817050836866E-2</c:v>
                </c:pt>
                <c:pt idx="6">
                  <c:v>3.4604150751416721E-2</c:v>
                </c:pt>
                <c:pt idx="7">
                  <c:v>4.397558922232904E-2</c:v>
                </c:pt>
                <c:pt idx="8">
                  <c:v>5.5884985051160387E-2</c:v>
                </c:pt>
                <c:pt idx="9">
                  <c:v>7.1019663622440235E-2</c:v>
                </c:pt>
                <c:pt idx="10">
                  <c:v>9.025309063654903E-2</c:v>
                </c:pt>
                <c:pt idx="11">
                  <c:v>0.114695282320027</c:v>
                </c:pt>
                <c:pt idx="12">
                  <c:v>0.14575686764507789</c:v>
                </c:pt>
                <c:pt idx="13">
                  <c:v>0.18523049977265837</c:v>
                </c:pt>
                <c:pt idx="14">
                  <c:v>0.23539431520698867</c:v>
                </c:pt>
                <c:pt idx="15">
                  <c:v>0.29914341158596941</c:v>
                </c:pt>
                <c:pt idx="16">
                  <c:v>0.38015693206781348</c:v>
                </c:pt>
                <c:pt idx="17">
                  <c:v>0.48311039923297616</c:v>
                </c:pt>
                <c:pt idx="18">
                  <c:v>0.61394555289974784</c:v>
                </c:pt>
                <c:pt idx="19">
                  <c:v>0.78021326496763299</c:v>
                </c:pt>
                <c:pt idx="20">
                  <c:v>0.99150932188746532</c:v>
                </c:pt>
                <c:pt idx="21">
                  <c:v>1.2600282250142525</c:v>
                </c:pt>
                <c:pt idx="22">
                  <c:v>1.6012669702491873</c:v>
                </c:pt>
                <c:pt idx="23">
                  <c:v>2.0349194241121138</c:v>
                </c:pt>
                <c:pt idx="24">
                  <c:v>2.5860129132522949</c:v>
                </c:pt>
                <c:pt idx="25">
                  <c:v>3.2863526232374185</c:v>
                </c:pt>
                <c:pt idx="26">
                  <c:v>4.1763571670168949</c:v>
                </c:pt>
                <c:pt idx="27">
                  <c:v>5.3073912589791226</c:v>
                </c:pt>
                <c:pt idx="28">
                  <c:v>6.7447301199117105</c:v>
                </c:pt>
                <c:pt idx="29">
                  <c:v>8.5713266971757136</c:v>
                </c:pt>
                <c:pt idx="30">
                  <c:v>10.892599117172383</c:v>
                </c:pt>
                <c:pt idx="31">
                  <c:v>13.842514667714124</c:v>
                </c:pt>
                <c:pt idx="32">
                  <c:v>17.591321434366929</c:v>
                </c:pt>
                <c:pt idx="33">
                  <c:v>22.355373805669874</c:v>
                </c:pt>
                <c:pt idx="34">
                  <c:v>28.409618905313131</c:v>
                </c:pt>
                <c:pt idx="35">
                  <c:v>36.10346457908134</c:v>
                </c:pt>
                <c:pt idx="36">
                  <c:v>45.880944723591789</c:v>
                </c:pt>
                <c:pt idx="37">
                  <c:v>58.306345755774842</c:v>
                </c:pt>
                <c:pt idx="38">
                  <c:v>74.09677320013607</c:v>
                </c:pt>
                <c:pt idx="39">
                  <c:v>94.163537904939417</c:v>
                </c:pt>
                <c:pt idx="40">
                  <c:v>119.66475040452475</c:v>
                </c:pt>
                <c:pt idx="41">
                  <c:v>152.0721587992293</c:v>
                </c:pt>
                <c:pt idx="42">
                  <c:v>193.25608755862677</c:v>
                </c:pt>
                <c:pt idx="43">
                  <c:v>245.59337930998606</c:v>
                </c:pt>
                <c:pt idx="44">
                  <c:v>312.10456924209984</c:v>
                </c:pt>
                <c:pt idx="45">
                  <c:v>396.62820885267996</c:v>
                </c:pt>
                <c:pt idx="46">
                  <c:v>504.04239976267911</c:v>
                </c:pt>
                <c:pt idx="47">
                  <c:v>640.5463229492226</c:v>
                </c:pt>
                <c:pt idx="48">
                  <c:v>814.0180112564999</c:v>
                </c:pt>
                <c:pt idx="49">
                  <c:v>1034.469013262159</c:v>
                </c:pt>
                <c:pt idx="50">
                  <c:v>1314.6221884547138</c:v>
                </c:pt>
              </c:numCache>
            </c:numRef>
          </c:xVal>
          <c:yVal>
            <c:numRef>
              <c:f>Blei!$J$63:$J$113</c:f>
              <c:numCache>
                <c:formatCode>General</c:formatCode>
                <c:ptCount val="51"/>
                <c:pt idx="0">
                  <c:v>1.5101991257577855E-4</c:v>
                </c:pt>
                <c:pt idx="1">
                  <c:v>3.1663530326559407E-4</c:v>
                </c:pt>
                <c:pt idx="2">
                  <c:v>6.3784135842645019E-4</c:v>
                </c:pt>
                <c:pt idx="3">
                  <c:v>1.2345089357812824E-3</c:v>
                </c:pt>
                <c:pt idx="4">
                  <c:v>2.2956412525887604E-3</c:v>
                </c:pt>
                <c:pt idx="5">
                  <c:v>4.1014934627674453E-3</c:v>
                </c:pt>
                <c:pt idx="6">
                  <c:v>7.0405769209747173E-3</c:v>
                </c:pt>
                <c:pt idx="7">
                  <c:v>1.161188409970697E-2</c:v>
                </c:pt>
                <c:pt idx="8">
                  <c:v>1.8400319236093178E-2</c:v>
                </c:pt>
                <c:pt idx="9">
                  <c:v>2.8014072227303559E-2</c:v>
                </c:pt>
                <c:pt idx="10">
                  <c:v>4.0978433359590324E-2</c:v>
                </c:pt>
                <c:pt idx="11">
                  <c:v>5.7592068692418626E-2</c:v>
                </c:pt>
                <c:pt idx="12">
                  <c:v>7.7767515943047386E-2</c:v>
                </c:pt>
                <c:pt idx="13">
                  <c:v>0.10089322307596363</c:v>
                </c:pt>
                <c:pt idx="14">
                  <c:v>0.12576331770377372</c:v>
                </c:pt>
                <c:pt idx="15">
                  <c:v>0.15061707048618733</c:v>
                </c:pt>
                <c:pt idx="16">
                  <c:v>0.1733096030411152</c:v>
                </c:pt>
                <c:pt idx="17">
                  <c:v>0.19160166533408501</c:v>
                </c:pt>
                <c:pt idx="18">
                  <c:v>0.2035186214189785</c:v>
                </c:pt>
                <c:pt idx="19">
                  <c:v>0.20770035823657601</c:v>
                </c:pt>
                <c:pt idx="20">
                  <c:v>0.2036566331481644</c:v>
                </c:pt>
                <c:pt idx="21">
                  <c:v>0.19186161445254915</c:v>
                </c:pt>
                <c:pt idx="22">
                  <c:v>0.17366242060865122</c:v>
                </c:pt>
                <c:pt idx="23">
                  <c:v>0.15102603701824399</c:v>
                </c:pt>
                <c:pt idx="24">
                  <c:v>0.1261903147294719</c:v>
                </c:pt>
                <c:pt idx="25">
                  <c:v>0.10130443093033062</c:v>
                </c:pt>
                <c:pt idx="26">
                  <c:v>7.8137422248030053E-2</c:v>
                </c:pt>
                <c:pt idx="27">
                  <c:v>5.7905249731713571E-2</c:v>
                </c:pt>
                <c:pt idx="28">
                  <c:v>4.1229210531821117E-2</c:v>
                </c:pt>
                <c:pt idx="29">
                  <c:v>2.8204624330405038E-2</c:v>
                </c:pt>
                <c:pt idx="30">
                  <c:v>1.8538041110158582E-2</c:v>
                </c:pt>
                <c:pt idx="31">
                  <c:v>1.170672948699604E-2</c:v>
                </c:pt>
                <c:pt idx="32">
                  <c:v>7.1028974724072014E-3</c:v>
                </c:pt>
                <c:pt idx="33">
                  <c:v>4.1406043056088247E-3</c:v>
                </c:pt>
                <c:pt idx="34">
                  <c:v>2.3191035124261409E-3</c:v>
                </c:pt>
                <c:pt idx="35">
                  <c:v>1.2479717620903191E-3</c:v>
                </c:pt>
                <c:pt idx="36">
                  <c:v>6.4523453532585825E-4</c:v>
                </c:pt>
                <c:pt idx="37">
                  <c:v>3.2052261022006567E-4</c:v>
                </c:pt>
                <c:pt idx="38">
                  <c:v>1.529776404403011E-4</c:v>
                </c:pt>
                <c:pt idx="39">
                  <c:v>7.014964311068719E-5</c:v>
                </c:pt>
                <c:pt idx="40">
                  <c:v>3.090659737010521E-5</c:v>
                </c:pt>
                <c:pt idx="41">
                  <c:v>1.3082933799239713E-5</c:v>
                </c:pt>
                <c:pt idx="42">
                  <c:v>5.3209271616536324E-6</c:v>
                </c:pt>
                <c:pt idx="43">
                  <c:v>2.0792068853837663E-6</c:v>
                </c:pt>
                <c:pt idx="44">
                  <c:v>7.8061396455031776E-7</c:v>
                </c:pt>
                <c:pt idx="45">
                  <c:v>2.8158087128855484E-7</c:v>
                </c:pt>
                <c:pt idx="46">
                  <c:v>9.7588400842789109E-8</c:v>
                </c:pt>
                <c:pt idx="47">
                  <c:v>3.2495369158464309E-8</c:v>
                </c:pt>
                <c:pt idx="48">
                  <c:v>1.0396160351127637E-8</c:v>
                </c:pt>
                <c:pt idx="49">
                  <c:v>3.1956020022468755E-9</c:v>
                </c:pt>
                <c:pt idx="50">
                  <c:v>9.4375794435770263E-10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9E-4446-9E96-DCD71F8C89F7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Blei!$T$46:$T$97</c:f>
              <c:numCache>
                <c:formatCode>0.0</c:formatCode>
                <c:ptCount val="52"/>
                <c:pt idx="0">
                  <c:v>-1.0500000000000001E-2</c:v>
                </c:pt>
                <c:pt idx="1">
                  <c:v>1.0500000000000001E-2</c:v>
                </c:pt>
                <c:pt idx="2">
                  <c:v>1.0395000000000001</c:v>
                </c:pt>
                <c:pt idx="3">
                  <c:v>1.0605</c:v>
                </c:pt>
                <c:pt idx="4">
                  <c:v>2.0895000000000001</c:v>
                </c:pt>
                <c:pt idx="5">
                  <c:v>2.1105</c:v>
                </c:pt>
                <c:pt idx="6">
                  <c:v>3.1395000000000004</c:v>
                </c:pt>
                <c:pt idx="7">
                  <c:v>3.1605000000000003</c:v>
                </c:pt>
                <c:pt idx="8">
                  <c:v>4.1894999999999998</c:v>
                </c:pt>
                <c:pt idx="9">
                  <c:v>4.2105000000000006</c:v>
                </c:pt>
                <c:pt idx="10">
                  <c:v>5.2394999999999996</c:v>
                </c:pt>
                <c:pt idx="11">
                  <c:v>5.2605000000000004</c:v>
                </c:pt>
                <c:pt idx="12">
                  <c:v>6.2895000000000003</c:v>
                </c:pt>
                <c:pt idx="13">
                  <c:v>6.3105000000000011</c:v>
                </c:pt>
                <c:pt idx="14">
                  <c:v>7.3395000000000001</c:v>
                </c:pt>
                <c:pt idx="15">
                  <c:v>7.3605000000000009</c:v>
                </c:pt>
                <c:pt idx="16">
                  <c:v>8.3895</c:v>
                </c:pt>
                <c:pt idx="17">
                  <c:v>8.4105000000000008</c:v>
                </c:pt>
                <c:pt idx="18">
                  <c:v>9.4395000000000007</c:v>
                </c:pt>
                <c:pt idx="19">
                  <c:v>9.4605000000000015</c:v>
                </c:pt>
                <c:pt idx="20">
                  <c:v>10.4895</c:v>
                </c:pt>
                <c:pt idx="21">
                  <c:v>10.5105</c:v>
                </c:pt>
                <c:pt idx="22">
                  <c:v>11.5395</c:v>
                </c:pt>
                <c:pt idx="23">
                  <c:v>11.560500000000001</c:v>
                </c:pt>
                <c:pt idx="24">
                  <c:v>12.589500000000001</c:v>
                </c:pt>
                <c:pt idx="25">
                  <c:v>12.610500000000002</c:v>
                </c:pt>
                <c:pt idx="26">
                  <c:v>13.6395</c:v>
                </c:pt>
                <c:pt idx="27">
                  <c:v>13.660500000000001</c:v>
                </c:pt>
                <c:pt idx="28">
                  <c:v>14.689500000000001</c:v>
                </c:pt>
                <c:pt idx="29">
                  <c:v>14.710500000000001</c:v>
                </c:pt>
                <c:pt idx="30">
                  <c:v>15.7395</c:v>
                </c:pt>
                <c:pt idx="31">
                  <c:v>15.7605</c:v>
                </c:pt>
                <c:pt idx="32">
                  <c:v>16.7895</c:v>
                </c:pt>
                <c:pt idx="33">
                  <c:v>16.810500000000001</c:v>
                </c:pt>
                <c:pt idx="34">
                  <c:v>17.839500000000001</c:v>
                </c:pt>
                <c:pt idx="35">
                  <c:v>17.860500000000002</c:v>
                </c:pt>
                <c:pt idx="36">
                  <c:v>18.889500000000002</c:v>
                </c:pt>
                <c:pt idx="37">
                  <c:v>18.910500000000003</c:v>
                </c:pt>
                <c:pt idx="38">
                  <c:v>19.939499999999999</c:v>
                </c:pt>
                <c:pt idx="39">
                  <c:v>19.9605</c:v>
                </c:pt>
                <c:pt idx="40">
                  <c:v>20.9895</c:v>
                </c:pt>
                <c:pt idx="41">
                  <c:v>21.0105</c:v>
                </c:pt>
                <c:pt idx="42">
                  <c:v>22.0395</c:v>
                </c:pt>
                <c:pt idx="43">
                  <c:v>22.060500000000001</c:v>
                </c:pt>
                <c:pt idx="44">
                  <c:v>23.089500000000001</c:v>
                </c:pt>
                <c:pt idx="45">
                  <c:v>23.110500000000002</c:v>
                </c:pt>
                <c:pt idx="46">
                  <c:v>24.139500000000002</c:v>
                </c:pt>
                <c:pt idx="47">
                  <c:v>24.160500000000003</c:v>
                </c:pt>
                <c:pt idx="48">
                  <c:v>25.189500000000002</c:v>
                </c:pt>
                <c:pt idx="49">
                  <c:v>25.210500000000003</c:v>
                </c:pt>
                <c:pt idx="50">
                  <c:v>26.2395</c:v>
                </c:pt>
                <c:pt idx="51">
                  <c:v>26.2605</c:v>
                </c:pt>
              </c:numCache>
            </c:numRef>
          </c:xVal>
          <c:yVal>
            <c:numRef>
              <c:f>Blei!$U$46:$U$97</c:f>
              <c:numCache>
                <c:formatCode>0.0000</c:formatCode>
                <c:ptCount val="52"/>
                <c:pt idx="0">
                  <c:v>0</c:v>
                </c:pt>
                <c:pt idx="1">
                  <c:v>0.29411764705882354</c:v>
                </c:pt>
                <c:pt idx="2">
                  <c:v>0.29411764705882354</c:v>
                </c:pt>
                <c:pt idx="3">
                  <c:v>0.29411764705882354</c:v>
                </c:pt>
                <c:pt idx="4">
                  <c:v>0.29411764705882354</c:v>
                </c:pt>
                <c:pt idx="5">
                  <c:v>0.21008403361344535</c:v>
                </c:pt>
                <c:pt idx="6">
                  <c:v>0.21008403361344535</c:v>
                </c:pt>
                <c:pt idx="7">
                  <c:v>2.8011204481792715E-2</c:v>
                </c:pt>
                <c:pt idx="8">
                  <c:v>2.8011204481792715E-2</c:v>
                </c:pt>
                <c:pt idx="9">
                  <c:v>1.4005602240896357E-2</c:v>
                </c:pt>
                <c:pt idx="10">
                  <c:v>1.4005602240896357E-2</c:v>
                </c:pt>
                <c:pt idx="11">
                  <c:v>2.8011204481792715E-2</c:v>
                </c:pt>
                <c:pt idx="12">
                  <c:v>2.8011204481792715E-2</c:v>
                </c:pt>
                <c:pt idx="13">
                  <c:v>4.2016806722689079E-2</c:v>
                </c:pt>
                <c:pt idx="14">
                  <c:v>4.2016806722689079E-2</c:v>
                </c:pt>
                <c:pt idx="15">
                  <c:v>0</c:v>
                </c:pt>
                <c:pt idx="16">
                  <c:v>0</c:v>
                </c:pt>
                <c:pt idx="17">
                  <c:v>2.8011204481792715E-2</c:v>
                </c:pt>
                <c:pt idx="18">
                  <c:v>2.8011204481792715E-2</c:v>
                </c:pt>
                <c:pt idx="19">
                  <c:v>0</c:v>
                </c:pt>
                <c:pt idx="20">
                  <c:v>0</c:v>
                </c:pt>
                <c:pt idx="21">
                  <c:v>0.14005602240896359</c:v>
                </c:pt>
                <c:pt idx="22">
                  <c:v>0.14005602240896359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0.15406162464985995</c:v>
                </c:pt>
                <c:pt idx="42">
                  <c:v>0.15406162464985995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1.4005602240896357E-2</c:v>
                </c:pt>
                <c:pt idx="50">
                  <c:v>1.4005602240896357E-2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9E-4446-9E96-DCD71F8C89F7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Blei!$U$3:$V$3</c:f>
              <c:numCache>
                <c:formatCode>0.000</c:formatCode>
                <c:ptCount val="2"/>
                <c:pt idx="0">
                  <c:v>20.694654234050937</c:v>
                </c:pt>
                <c:pt idx="1">
                  <c:v>20.694654234050937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9E-4446-9E96-DCD71F8C89F7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Blei!$U$4:$V$4</c:f>
              <c:numCache>
                <c:formatCode>0.000</c:formatCode>
                <c:ptCount val="2"/>
                <c:pt idx="0">
                  <c:v>23.589815392561537</c:v>
                </c:pt>
                <c:pt idx="1">
                  <c:v>23.589815392561537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9E-4446-9E96-DCD71F8C89F7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Blei!$U$5:$V$5</c:f>
              <c:numCache>
                <c:formatCode>0.000</c:formatCode>
                <c:ptCount val="2"/>
                <c:pt idx="0">
                  <c:v>23.350454273269861</c:v>
                </c:pt>
                <c:pt idx="1">
                  <c:v>23.350454273269861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9E-4446-9E96-DCD71F8C89F7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Blei!$U$6:$V$6</c:f>
              <c:numCache>
                <c:formatCode>0.000</c:formatCode>
                <c:ptCount val="2"/>
                <c:pt idx="0">
                  <c:v>38.505320804363322</c:v>
                </c:pt>
                <c:pt idx="1">
                  <c:v>38.505320804363322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59E-4446-9E96-DCD71F8C89F7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Blei!$U$7:$V$7</c:f>
              <c:numCache>
                <c:formatCode>0.000</c:formatCode>
                <c:ptCount val="2"/>
                <c:pt idx="0">
                  <c:v>-7.7196542340509353</c:v>
                </c:pt>
                <c:pt idx="1">
                  <c:v>-7.7196542340509353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59E-4446-9E96-DCD71F8C89F7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Blei!$U$8:$V$8</c:f>
              <c:numCache>
                <c:formatCode>0.000</c:formatCode>
                <c:ptCount val="2"/>
                <c:pt idx="0">
                  <c:v>-1.1588568154983323</c:v>
                </c:pt>
                <c:pt idx="1">
                  <c:v>-1.1588568154983323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59E-4446-9E96-DCD71F8C89F7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Blei!$U$11:$V$11</c:f>
              <c:numCache>
                <c:formatCode>0.000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Blei!$U$2:$V$2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59E-4446-9E96-DCD71F8C8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865664"/>
        <c:axId val="154867200"/>
      </c:scatterChart>
      <c:valAx>
        <c:axId val="154865664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867200"/>
        <c:crosses val="autoZero"/>
        <c:crossBetween val="midCat"/>
        <c:majorUnit val="5"/>
        <c:minorUnit val="1"/>
      </c:valAx>
      <c:valAx>
        <c:axId val="154867200"/>
        <c:scaling>
          <c:orientation val="minMax"/>
          <c:max val="0.30000000000000004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865664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Blei!$M$3:$M$252</c:f>
              <c:numCache>
                <c:formatCode>d/m/yyyy;@</c:formatCode>
                <c:ptCount val="250"/>
                <c:pt idx="0">
                  <c:v>35878</c:v>
                </c:pt>
                <c:pt idx="1">
                  <c:v>35977</c:v>
                </c:pt>
                <c:pt idx="2">
                  <c:v>36067</c:v>
                </c:pt>
                <c:pt idx="3">
                  <c:v>36130</c:v>
                </c:pt>
                <c:pt idx="4">
                  <c:v>36241</c:v>
                </c:pt>
                <c:pt idx="5">
                  <c:v>36305</c:v>
                </c:pt>
                <c:pt idx="6">
                  <c:v>36384</c:v>
                </c:pt>
                <c:pt idx="7">
                  <c:v>36474</c:v>
                </c:pt>
                <c:pt idx="8">
                  <c:v>36585</c:v>
                </c:pt>
                <c:pt idx="9">
                  <c:v>36692</c:v>
                </c:pt>
                <c:pt idx="10">
                  <c:v>36781</c:v>
                </c:pt>
                <c:pt idx="11">
                  <c:v>36857</c:v>
                </c:pt>
                <c:pt idx="12">
                  <c:v>36979</c:v>
                </c:pt>
                <c:pt idx="13">
                  <c:v>37053</c:v>
                </c:pt>
                <c:pt idx="14">
                  <c:v>37145</c:v>
                </c:pt>
                <c:pt idx="15">
                  <c:v>37224</c:v>
                </c:pt>
                <c:pt idx="16">
                  <c:v>37306</c:v>
                </c:pt>
                <c:pt idx="17">
                  <c:v>37418</c:v>
                </c:pt>
                <c:pt idx="18">
                  <c:v>37494</c:v>
                </c:pt>
                <c:pt idx="19">
                  <c:v>37557</c:v>
                </c:pt>
                <c:pt idx="20">
                  <c:v>37663</c:v>
                </c:pt>
                <c:pt idx="21">
                  <c:v>37774</c:v>
                </c:pt>
                <c:pt idx="22">
                  <c:v>37868</c:v>
                </c:pt>
                <c:pt idx="23">
                  <c:v>37952</c:v>
                </c:pt>
                <c:pt idx="24">
                  <c:v>38034</c:v>
                </c:pt>
                <c:pt idx="25">
                  <c:v>38154</c:v>
                </c:pt>
                <c:pt idx="26">
                  <c:v>38222</c:v>
                </c:pt>
                <c:pt idx="27">
                  <c:v>38302</c:v>
                </c:pt>
                <c:pt idx="28">
                  <c:v>38378</c:v>
                </c:pt>
                <c:pt idx="29">
                  <c:v>38489</c:v>
                </c:pt>
                <c:pt idx="30">
                  <c:v>38575</c:v>
                </c:pt>
                <c:pt idx="31">
                  <c:v>38663</c:v>
                </c:pt>
                <c:pt idx="32">
                  <c:v>38777</c:v>
                </c:pt>
                <c:pt idx="33">
                  <c:v>38876</c:v>
                </c:pt>
                <c:pt idx="34">
                  <c:v>38932</c:v>
                </c:pt>
                <c:pt idx="35">
                  <c:v>39071</c:v>
                </c:pt>
                <c:pt idx="36">
                  <c:v>39126</c:v>
                </c:pt>
                <c:pt idx="37">
                  <c:v>39252</c:v>
                </c:pt>
                <c:pt idx="38">
                  <c:v>39329</c:v>
                </c:pt>
                <c:pt idx="39">
                  <c:v>39419</c:v>
                </c:pt>
                <c:pt idx="40">
                  <c:v>39511</c:v>
                </c:pt>
                <c:pt idx="41">
                  <c:v>39609</c:v>
                </c:pt>
                <c:pt idx="42">
                  <c:v>39672</c:v>
                </c:pt>
                <c:pt idx="43">
                  <c:v>39771</c:v>
                </c:pt>
                <c:pt idx="44">
                  <c:v>39888</c:v>
                </c:pt>
                <c:pt idx="45">
                  <c:v>39973</c:v>
                </c:pt>
                <c:pt idx="46">
                  <c:v>40071</c:v>
                </c:pt>
                <c:pt idx="47">
                  <c:v>40150</c:v>
                </c:pt>
                <c:pt idx="48">
                  <c:v>40246</c:v>
                </c:pt>
                <c:pt idx="49">
                  <c:v>40339</c:v>
                </c:pt>
                <c:pt idx="50">
                  <c:v>40428</c:v>
                </c:pt>
                <c:pt idx="51">
                  <c:v>40512</c:v>
                </c:pt>
                <c:pt idx="52">
                  <c:v>40589</c:v>
                </c:pt>
                <c:pt idx="53">
                  <c:v>40724</c:v>
                </c:pt>
                <c:pt idx="54">
                  <c:v>40801</c:v>
                </c:pt>
                <c:pt idx="55">
                  <c:v>40879</c:v>
                </c:pt>
                <c:pt idx="56">
                  <c:v>40961</c:v>
                </c:pt>
                <c:pt idx="57">
                  <c:v>41065</c:v>
                </c:pt>
                <c:pt idx="58">
                  <c:v>41151</c:v>
                </c:pt>
                <c:pt idx="59">
                  <c:v>41249</c:v>
                </c:pt>
                <c:pt idx="60">
                  <c:v>41697</c:v>
                </c:pt>
                <c:pt idx="61">
                  <c:v>41802</c:v>
                </c:pt>
                <c:pt idx="62">
                  <c:v>41911</c:v>
                </c:pt>
                <c:pt idx="63">
                  <c:v>41970</c:v>
                </c:pt>
                <c:pt idx="64">
                  <c:v>42075</c:v>
                </c:pt>
                <c:pt idx="65">
                  <c:v>42171</c:v>
                </c:pt>
                <c:pt idx="66">
                  <c:v>42261</c:v>
                </c:pt>
                <c:pt idx="67">
                  <c:v>42341</c:v>
                </c:pt>
              </c:numCache>
            </c:numRef>
          </c:xVal>
          <c:yVal>
            <c:numRef>
              <c:f>Blei!$N$3:$N$252</c:f>
              <c:numCache>
                <c:formatCode>General</c:formatCode>
                <c:ptCount val="25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10</c:v>
                </c:pt>
                <c:pt idx="27">
                  <c:v>10</c:v>
                </c:pt>
                <c:pt idx="28">
                  <c:v>25</c:v>
                </c:pt>
                <c:pt idx="29">
                  <c:v>6</c:v>
                </c:pt>
                <c:pt idx="30">
                  <c:v>1</c:v>
                </c:pt>
                <c:pt idx="31">
                  <c:v>1</c:v>
                </c:pt>
                <c:pt idx="32">
                  <c:v>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1.5</c:v>
                </c:pt>
                <c:pt idx="45">
                  <c:v>1</c:v>
                </c:pt>
                <c:pt idx="46">
                  <c:v>2.4</c:v>
                </c:pt>
                <c:pt idx="47">
                  <c:v>1.7</c:v>
                </c:pt>
                <c:pt idx="48">
                  <c:v>0.89</c:v>
                </c:pt>
                <c:pt idx="49">
                  <c:v>1.7</c:v>
                </c:pt>
                <c:pt idx="50">
                  <c:v>1.5</c:v>
                </c:pt>
                <c:pt idx="51">
                  <c:v>0.67</c:v>
                </c:pt>
                <c:pt idx="52">
                  <c:v>1.1000000000000001</c:v>
                </c:pt>
                <c:pt idx="53">
                  <c:v>4.2</c:v>
                </c:pt>
                <c:pt idx="54">
                  <c:v>0.69</c:v>
                </c:pt>
                <c:pt idx="55">
                  <c:v>1.6</c:v>
                </c:pt>
                <c:pt idx="56">
                  <c:v>1.5</c:v>
                </c:pt>
                <c:pt idx="57">
                  <c:v>6</c:v>
                </c:pt>
                <c:pt idx="58">
                  <c:v>4.7</c:v>
                </c:pt>
                <c:pt idx="59">
                  <c:v>9.5</c:v>
                </c:pt>
                <c:pt idx="60">
                  <c:v>1.5</c:v>
                </c:pt>
                <c:pt idx="61">
                  <c:v>1.3</c:v>
                </c:pt>
                <c:pt idx="62">
                  <c:v>1.6</c:v>
                </c:pt>
                <c:pt idx="63">
                  <c:v>2.2000000000000002</c:v>
                </c:pt>
                <c:pt idx="64">
                  <c:v>1.1000000000000001</c:v>
                </c:pt>
                <c:pt idx="65">
                  <c:v>8.3000000000000007</c:v>
                </c:pt>
                <c:pt idx="66">
                  <c:v>7.4</c:v>
                </c:pt>
                <c:pt idx="67">
                  <c:v>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40-497B-9B93-840F238FEB0D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Blei!$E$57:$E$58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Blei!$F$57:$F$58</c:f>
              <c:numCache>
                <c:formatCode>0.000</c:formatCode>
                <c:ptCount val="2"/>
                <c:pt idx="0">
                  <c:v>20.694654234050937</c:v>
                </c:pt>
                <c:pt idx="1">
                  <c:v>20.694654234050937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40-497B-9B93-840F238FEB0D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Blei!$E$57:$E$58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Blei!$J$57:$J$58</c:f>
              <c:numCache>
                <c:formatCode>0.000</c:formatCode>
                <c:ptCount val="2"/>
                <c:pt idx="0">
                  <c:v>23.589815392561537</c:v>
                </c:pt>
                <c:pt idx="1">
                  <c:v>23.589815392561537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40-497B-9B93-840F238FEB0D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Blei!$G$122:$G$123</c:f>
              <c:numCache>
                <c:formatCode>d/m/yyyy;@</c:formatCode>
                <c:ptCount val="2"/>
                <c:pt idx="0">
                  <c:v>0.67</c:v>
                </c:pt>
                <c:pt idx="1">
                  <c:v>42341</c:v>
                </c:pt>
              </c:numCache>
            </c:numRef>
          </c:xVal>
          <c:yVal>
            <c:numRef>
              <c:f>Blei!$I$122:$I$123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40-497B-9B93-840F238FEB0D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Blei!$G$122:$G$123</c:f>
              <c:numCache>
                <c:formatCode>d/m/yyyy;@</c:formatCode>
                <c:ptCount val="2"/>
                <c:pt idx="0">
                  <c:v>0.67</c:v>
                </c:pt>
                <c:pt idx="1">
                  <c:v>42341</c:v>
                </c:pt>
              </c:numCache>
            </c:numRef>
          </c:xVal>
          <c:yVal>
            <c:numRef>
              <c:f>Blei!$J$122:$J$123</c:f>
              <c:numCache>
                <c:formatCode>General</c:formatCode>
                <c:ptCount val="2"/>
                <c:pt idx="0">
                  <c:v>60.427248338238215</c:v>
                </c:pt>
                <c:pt idx="1">
                  <c:v>1.8051295760093709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40-497B-9B93-840F238FEB0D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Blei!$E$57:$E$58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Blei!$G$57:$G$58</c:f>
              <c:numCache>
                <c:formatCode>0.000</c:formatCode>
                <c:ptCount val="2"/>
                <c:pt idx="0">
                  <c:v>-7.7196542340509353</c:v>
                </c:pt>
                <c:pt idx="1">
                  <c:v>-7.7196542340509353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40-497B-9B93-840F238FEB0D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Blei!$E$57:$E$58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Blei!$H$57:$H$58</c:f>
              <c:numCache>
                <c:formatCode>0.000</c:formatCode>
                <c:ptCount val="2"/>
                <c:pt idx="0">
                  <c:v>23.350454273269861</c:v>
                </c:pt>
                <c:pt idx="1">
                  <c:v>23.350454273269861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40-497B-9B93-840F238FEB0D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Blei!$E$57:$E$58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Blei!$K$57:$K$58</c:f>
              <c:numCache>
                <c:formatCode>0.000</c:formatCode>
                <c:ptCount val="2"/>
                <c:pt idx="0">
                  <c:v>38.505320804363322</c:v>
                </c:pt>
                <c:pt idx="1">
                  <c:v>38.505320804363322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40-497B-9B93-840F238F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08928"/>
        <c:axId val="154927104"/>
      </c:scatterChart>
      <c:valAx>
        <c:axId val="154908928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4927104"/>
        <c:crossesAt val="0"/>
        <c:crossBetween val="midCat"/>
        <c:majorUnit val="1461"/>
        <c:minorUnit val="365.25"/>
      </c:valAx>
      <c:valAx>
        <c:axId val="154927104"/>
        <c:scaling>
          <c:orientation val="minMax"/>
          <c:max val="5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4908928"/>
        <c:crossesAt val="0"/>
        <c:crossBetween val="midCat"/>
        <c:majorUnit val="1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Cadmium!$F$63:$F$113</c:f>
              <c:numCache>
                <c:formatCode>General</c:formatCode>
                <c:ptCount val="51"/>
                <c:pt idx="0">
                  <c:v>-3.5040051008672313</c:v>
                </c:pt>
                <c:pt idx="1">
                  <c:v>-3.3209272497737183</c:v>
                </c:pt>
                <c:pt idx="2">
                  <c:v>-3.1378493986802054</c:v>
                </c:pt>
                <c:pt idx="3">
                  <c:v>-2.9547715475866934</c:v>
                </c:pt>
                <c:pt idx="4">
                  <c:v>-2.7716936964931804</c:v>
                </c:pt>
                <c:pt idx="5">
                  <c:v>-2.5886158453996675</c:v>
                </c:pt>
                <c:pt idx="6">
                  <c:v>-2.4055379943061546</c:v>
                </c:pt>
                <c:pt idx="7">
                  <c:v>-2.2224601432126425</c:v>
                </c:pt>
                <c:pt idx="8">
                  <c:v>-2.0393822921191296</c:v>
                </c:pt>
                <c:pt idx="9">
                  <c:v>-1.8563044410256169</c:v>
                </c:pt>
                <c:pt idx="10">
                  <c:v>-1.6732265899321039</c:v>
                </c:pt>
                <c:pt idx="11">
                  <c:v>-1.4901487388385906</c:v>
                </c:pt>
                <c:pt idx="12">
                  <c:v>-1.3070708877450781</c:v>
                </c:pt>
                <c:pt idx="13">
                  <c:v>-1.1239930366515651</c:v>
                </c:pt>
                <c:pt idx="14">
                  <c:v>-0.94091518555805265</c:v>
                </c:pt>
                <c:pt idx="15">
                  <c:v>-0.75783733446453971</c:v>
                </c:pt>
                <c:pt idx="16">
                  <c:v>-0.574759483371027</c:v>
                </c:pt>
                <c:pt idx="17">
                  <c:v>-0.39168163227751429</c:v>
                </c:pt>
                <c:pt idx="18">
                  <c:v>-0.20860378118400114</c:v>
                </c:pt>
                <c:pt idx="19">
                  <c:v>-2.5525930090488425E-2</c:v>
                </c:pt>
                <c:pt idx="20">
                  <c:v>0.15755192100302429</c:v>
                </c:pt>
                <c:pt idx="21">
                  <c:v>0.340629772096537</c:v>
                </c:pt>
                <c:pt idx="22">
                  <c:v>0.52370762319004993</c:v>
                </c:pt>
                <c:pt idx="23">
                  <c:v>0.70678547428356264</c:v>
                </c:pt>
                <c:pt idx="24">
                  <c:v>0.88986332537707546</c:v>
                </c:pt>
                <c:pt idx="25">
                  <c:v>1.0729411764705883</c:v>
                </c:pt>
                <c:pt idx="26">
                  <c:v>1.256019027564101</c:v>
                </c:pt>
                <c:pt idx="27">
                  <c:v>1.4390968786576139</c:v>
                </c:pt>
                <c:pt idx="28">
                  <c:v>1.6221747297511266</c:v>
                </c:pt>
                <c:pt idx="29">
                  <c:v>1.8052525808446487</c:v>
                </c:pt>
                <c:pt idx="30">
                  <c:v>1.9883304319381614</c:v>
                </c:pt>
                <c:pt idx="31">
                  <c:v>2.1714082830316741</c:v>
                </c:pt>
                <c:pt idx="32">
                  <c:v>2.354486134125187</c:v>
                </c:pt>
                <c:pt idx="33">
                  <c:v>2.5375639852187</c:v>
                </c:pt>
                <c:pt idx="34">
                  <c:v>2.7206418363122129</c:v>
                </c:pt>
                <c:pt idx="35">
                  <c:v>2.9037196874057258</c:v>
                </c:pt>
                <c:pt idx="36">
                  <c:v>3.0867975384992379</c:v>
                </c:pt>
                <c:pt idx="37">
                  <c:v>3.2698753895927508</c:v>
                </c:pt>
                <c:pt idx="38">
                  <c:v>3.4529532406862637</c:v>
                </c:pt>
                <c:pt idx="39">
                  <c:v>3.6360310917797767</c:v>
                </c:pt>
                <c:pt idx="40">
                  <c:v>3.8191089428732896</c:v>
                </c:pt>
                <c:pt idx="41">
                  <c:v>4.0021867939668025</c:v>
                </c:pt>
                <c:pt idx="42">
                  <c:v>4.1852646450603155</c:v>
                </c:pt>
                <c:pt idx="43">
                  <c:v>4.3683424961538275</c:v>
                </c:pt>
                <c:pt idx="44">
                  <c:v>4.5514203472473405</c:v>
                </c:pt>
                <c:pt idx="45">
                  <c:v>4.7344981983408534</c:v>
                </c:pt>
                <c:pt idx="46">
                  <c:v>4.9175760494343663</c:v>
                </c:pt>
                <c:pt idx="47">
                  <c:v>5.1006539005278793</c:v>
                </c:pt>
                <c:pt idx="48">
                  <c:v>5.2837317516213922</c:v>
                </c:pt>
                <c:pt idx="49">
                  <c:v>5.4668096027149042</c:v>
                </c:pt>
                <c:pt idx="50">
                  <c:v>5.6498874538084083</c:v>
                </c:pt>
              </c:numCache>
            </c:numRef>
          </c:xVal>
          <c:yVal>
            <c:numRef>
              <c:f>Cadmium!$G$63:$G$113</c:f>
              <c:numCache>
                <c:formatCode>General</c:formatCode>
                <c:ptCount val="51"/>
                <c:pt idx="0">
                  <c:v>1.6241391362791437E-6</c:v>
                </c:pt>
                <c:pt idx="1">
                  <c:v>4.3274476594208183E-6</c:v>
                </c:pt>
                <c:pt idx="2">
                  <c:v>1.1078185596909807E-5</c:v>
                </c:pt>
                <c:pt idx="3">
                  <c:v>2.7247939760133388E-5</c:v>
                </c:pt>
                <c:pt idx="4">
                  <c:v>6.4391260225610592E-5</c:v>
                </c:pt>
                <c:pt idx="5">
                  <c:v>1.4620034588075576E-4</c:v>
                </c:pt>
                <c:pt idx="6">
                  <c:v>3.1893199974511298E-4</c:v>
                </c:pt>
                <c:pt idx="7">
                  <c:v>6.6846090497448831E-4</c:v>
                </c:pt>
                <c:pt idx="8">
                  <c:v>1.346114957230542E-3</c:v>
                </c:pt>
                <c:pt idx="9">
                  <c:v>2.6044529004735717E-3</c:v>
                </c:pt>
                <c:pt idx="10">
                  <c:v>4.8414905303583592E-3</c:v>
                </c:pt>
                <c:pt idx="11">
                  <c:v>8.6470881493326043E-3</c:v>
                </c:pt>
                <c:pt idx="12">
                  <c:v>1.4838462602172104E-2</c:v>
                </c:pt>
                <c:pt idx="13">
                  <c:v>2.4464488916689529E-2</c:v>
                </c:pt>
                <c:pt idx="14">
                  <c:v>3.8753560449113697E-2</c:v>
                </c:pt>
                <c:pt idx="15">
                  <c:v>5.8981429146893867E-2</c:v>
                </c:pt>
                <c:pt idx="16">
                  <c:v>8.6247634904309492E-2</c:v>
                </c:pt>
                <c:pt idx="17">
                  <c:v>0.12117340685061812</c:v>
                </c:pt>
                <c:pt idx="18">
                  <c:v>0.16356699048129733</c:v>
                </c:pt>
                <c:pt idx="19">
                  <c:v>0.21213495114056838</c:v>
                </c:pt>
                <c:pt idx="20">
                  <c:v>0.26433642636055321</c:v>
                </c:pt>
                <c:pt idx="21">
                  <c:v>0.31646815934442402</c:v>
                </c:pt>
                <c:pt idx="22">
                  <c:v>0.36402503186646501</c:v>
                </c:pt>
                <c:pt idx="23">
                  <c:v>0.40230987867037798</c:v>
                </c:pt>
                <c:pt idx="24">
                  <c:v>0.42718733220843674</c:v>
                </c:pt>
                <c:pt idx="25">
                  <c:v>0.43581708876150216</c:v>
                </c:pt>
                <c:pt idx="26">
                  <c:v>0.42718733220843685</c:v>
                </c:pt>
                <c:pt idx="27">
                  <c:v>0.40230987867037798</c:v>
                </c:pt>
                <c:pt idx="28">
                  <c:v>0.36402503186646501</c:v>
                </c:pt>
                <c:pt idx="29">
                  <c:v>0.31646815934442152</c:v>
                </c:pt>
                <c:pt idx="30">
                  <c:v>0.26433642636055055</c:v>
                </c:pt>
                <c:pt idx="31">
                  <c:v>0.21213495114056585</c:v>
                </c:pt>
                <c:pt idx="32">
                  <c:v>0.16356699048129503</c:v>
                </c:pt>
                <c:pt idx="33">
                  <c:v>0.12117340685061619</c:v>
                </c:pt>
                <c:pt idx="34">
                  <c:v>8.624763490430791E-2</c:v>
                </c:pt>
                <c:pt idx="35">
                  <c:v>5.898142914689266E-2</c:v>
                </c:pt>
                <c:pt idx="36">
                  <c:v>3.8753560449112906E-2</c:v>
                </c:pt>
                <c:pt idx="37">
                  <c:v>2.4464488916688953E-2</c:v>
                </c:pt>
                <c:pt idx="38">
                  <c:v>1.4838462602171728E-2</c:v>
                </c:pt>
                <c:pt idx="39">
                  <c:v>8.6470881493323649E-3</c:v>
                </c:pt>
                <c:pt idx="40">
                  <c:v>4.8414905303582256E-3</c:v>
                </c:pt>
                <c:pt idx="41">
                  <c:v>2.6044529004734911E-3</c:v>
                </c:pt>
                <c:pt idx="42">
                  <c:v>1.3461149572304978E-3</c:v>
                </c:pt>
                <c:pt idx="43">
                  <c:v>6.6846090497446684E-4</c:v>
                </c:pt>
                <c:pt idx="44">
                  <c:v>3.1893199974510132E-4</c:v>
                </c:pt>
                <c:pt idx="45">
                  <c:v>1.4620034588075007E-4</c:v>
                </c:pt>
                <c:pt idx="46">
                  <c:v>6.4391260225607963E-5</c:v>
                </c:pt>
                <c:pt idx="47">
                  <c:v>2.7247939760132219E-5</c:v>
                </c:pt>
                <c:pt idx="48">
                  <c:v>1.1078185596909257E-5</c:v>
                </c:pt>
                <c:pt idx="49">
                  <c:v>4.3274476594206184E-6</c:v>
                </c:pt>
                <c:pt idx="50">
                  <c:v>1.6241391362791437E-6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12-4595-B236-104F6A9AE4B0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Cadmium!$I$63:$I$113</c:f>
              <c:numCache>
                <c:formatCode>General</c:formatCode>
                <c:ptCount val="51"/>
                <c:pt idx="0">
                  <c:v>-0.40139295494688843</c:v>
                </c:pt>
                <c:pt idx="1">
                  <c:v>-0.39046864370590195</c:v>
                </c:pt>
                <c:pt idx="2">
                  <c:v>-0.37833406826902904</c:v>
                </c:pt>
                <c:pt idx="3">
                  <c:v>-0.36485514792476925</c:v>
                </c:pt>
                <c:pt idx="4">
                  <c:v>-0.34988294765356454</c:v>
                </c:pt>
                <c:pt idx="5">
                  <c:v>-0.33325203247373503</c:v>
                </c:pt>
                <c:pt idx="6">
                  <c:v>-0.31477863947146356</c:v>
                </c:pt>
                <c:pt idx="7">
                  <c:v>-0.29425864731671603</c:v>
                </c:pt>
                <c:pt idx="8">
                  <c:v>-0.27146532082931174</c:v>
                </c:pt>
                <c:pt idx="9">
                  <c:v>-0.24614680567377817</c:v>
                </c:pt>
                <c:pt idx="10">
                  <c:v>-0.21802334550067826</c:v>
                </c:pt>
                <c:pt idx="11">
                  <c:v>-0.18678419078527697</c:v>
                </c:pt>
                <c:pt idx="12">
                  <c:v>-0.15208416520783374</c:v>
                </c:pt>
                <c:pt idx="13">
                  <c:v>-0.11353985163581565</c:v>
                </c:pt>
                <c:pt idx="14">
                  <c:v>-7.0725355565132375E-2</c:v>
                </c:pt>
                <c:pt idx="15">
                  <c:v>-2.3167599208632483E-2</c:v>
                </c:pt>
                <c:pt idx="16">
                  <c:v>2.9658905765996724E-2</c:v>
                </c:pt>
                <c:pt idx="17">
                  <c:v>8.8337864607441863E-2</c:v>
                </c:pt>
                <c:pt idx="18">
                  <c:v>0.15351764911844956</c:v>
                </c:pt>
                <c:pt idx="19">
                  <c:v>0.22591846182511155</c:v>
                </c:pt>
                <c:pt idx="20">
                  <c:v>0.30634029383807093</c:v>
                </c:pt>
                <c:pt idx="21">
                  <c:v>0.39567176433585338</c:v>
                </c:pt>
                <c:pt idx="22">
                  <c:v>0.49489993934199183</c:v>
                </c:pt>
                <c:pt idx="23">
                  <c:v>0.60512123828829356</c:v>
                </c:pt>
                <c:pt idx="24">
                  <c:v>0.72755354887607226</c:v>
                </c:pt>
                <c:pt idx="25">
                  <c:v>0.86354968409822308</c:v>
                </c:pt>
                <c:pt idx="26">
                  <c:v>1.0146123301151944</c:v>
                </c:pt>
                <c:pt idx="27">
                  <c:v>1.1824106501510707</c:v>
                </c:pt>
                <c:pt idx="28">
                  <c:v>1.3687987278741307</c:v>
                </c:pt>
                <c:pt idx="29">
                  <c:v>1.5758360540516017</c:v>
                </c:pt>
                <c:pt idx="30">
                  <c:v>1.805810282845361</c:v>
                </c:pt>
                <c:pt idx="31">
                  <c:v>2.061262509193917</c:v>
                </c:pt>
                <c:pt idx="32">
                  <c:v>2.3450153465822972</c:v>
                </c:pt>
                <c:pt idx="33">
                  <c:v>2.660204115444682</c:v>
                </c:pt>
                <c:pt idx="34">
                  <c:v>3.0103114868152487</c:v>
                </c:pt>
                <c:pt idx="35">
                  <c:v>3.399205964021466</c:v>
                </c:pt>
                <c:pt idx="36">
                  <c:v>3.8311846276224077</c:v>
                </c:pt>
                <c:pt idx="37">
                  <c:v>4.311020615901322</c:v>
                </c:pt>
                <c:pt idx="38">
                  <c:v>4.8440158655470231</c:v>
                </c:pt>
                <c:pt idx="39">
                  <c:v>5.4360596952811058</c:v>
                </c:pt>
                <c:pt idx="40">
                  <c:v>6.0936938797493454</c:v>
                </c:pt>
                <c:pt idx="41">
                  <c:v>6.8241849327098265</c:v>
                </c:pt>
                <c:pt idx="42">
                  <c:v>7.6356043982091713</c:v>
                </c:pt>
                <c:pt idx="43">
                  <c:v>8.5369180369223603</c:v>
                </c:pt>
                <c:pt idx="44">
                  <c:v>9.5380848931185902</c:v>
                </c:pt>
                <c:pt idx="45">
                  <c:v>10.650167336891318</c:v>
                </c:pt>
                <c:pt idx="46">
                  <c:v>11.885453297561506</c:v>
                </c:pt>
                <c:pt idx="47">
                  <c:v>13.257592038869365</c:v>
                </c:pt>
                <c:pt idx="48">
                  <c:v>14.781744976199313</c:v>
                </c:pt>
                <c:pt idx="49">
                  <c:v>16.474753202289683</c:v>
                </c:pt>
                <c:pt idx="50">
                  <c:v>18.35532357249857</c:v>
                </c:pt>
              </c:numCache>
            </c:numRef>
          </c:xVal>
          <c:yVal>
            <c:numRef>
              <c:f>Cadmium!$J$63:$J$113</c:f>
              <c:numCache>
                <c:formatCode>General</c:formatCode>
                <c:ptCount val="51"/>
                <c:pt idx="0">
                  <c:v>2.8699873195654435E-5</c:v>
                </c:pt>
                <c:pt idx="1">
                  <c:v>6.8842724460775322E-5</c:v>
                </c:pt>
                <c:pt idx="2">
                  <c:v>1.5865886434471112E-4</c:v>
                </c:pt>
                <c:pt idx="3">
                  <c:v>3.5131674812418793E-4</c:v>
                </c:pt>
                <c:pt idx="4">
                  <c:v>7.474146182219341E-4</c:v>
                </c:pt>
                <c:pt idx="5">
                  <c:v>1.5277508779011823E-3</c:v>
                </c:pt>
                <c:pt idx="6">
                  <c:v>3.0003486008914281E-3</c:v>
                </c:pt>
                <c:pt idx="7">
                  <c:v>5.6613383677713196E-3</c:v>
                </c:pt>
                <c:pt idx="8">
                  <c:v>1.0263482096465416E-2</c:v>
                </c:pt>
                <c:pt idx="9">
                  <c:v>1.7877161611258404E-2</c:v>
                </c:pt>
                <c:pt idx="10">
                  <c:v>2.9917866787491542E-2</c:v>
                </c:pt>
                <c:pt idx="11">
                  <c:v>4.8105075733054933E-2</c:v>
                </c:pt>
                <c:pt idx="12">
                  <c:v>7.4315499645531441E-2</c:v>
                </c:pt>
                <c:pt idx="13">
                  <c:v>0.11030523446043605</c:v>
                </c:pt>
                <c:pt idx="14">
                  <c:v>0.15730446965353706</c:v>
                </c:pt>
                <c:pt idx="15">
                  <c:v>0.21553322355304913</c:v>
                </c:pt>
                <c:pt idx="16">
                  <c:v>0.28373676089425709</c:v>
                </c:pt>
                <c:pt idx="17">
                  <c:v>0.35887665600007274</c:v>
                </c:pt>
                <c:pt idx="18">
                  <c:v>0.43611701729733032</c:v>
                </c:pt>
                <c:pt idx="19">
                  <c:v>0.50920080032953552</c:v>
                </c:pt>
                <c:pt idx="20">
                  <c:v>0.57121991819456586</c:v>
                </c:pt>
                <c:pt idx="21">
                  <c:v>0.61566693291805341</c:v>
                </c:pt>
                <c:pt idx="22">
                  <c:v>0.63755335444429517</c:v>
                </c:pt>
                <c:pt idx="23">
                  <c:v>0.63433030816271663</c:v>
                </c:pt>
                <c:pt idx="24">
                  <c:v>0.60637684688845495</c:v>
                </c:pt>
                <c:pt idx="25">
                  <c:v>0.55692662298254836</c:v>
                </c:pt>
                <c:pt idx="26">
                  <c:v>0.49145252257228961</c:v>
                </c:pt>
                <c:pt idx="27">
                  <c:v>0.4166710996376714</c:v>
                </c:pt>
                <c:pt idx="28">
                  <c:v>0.33941685864987114</c:v>
                </c:pt>
                <c:pt idx="29">
                  <c:v>0.26564500938003482</c:v>
                </c:pt>
                <c:pt idx="30">
                  <c:v>0.1997552184192643</c:v>
                </c:pt>
                <c:pt idx="31">
                  <c:v>0.14431877263984966</c:v>
                </c:pt>
                <c:pt idx="32">
                  <c:v>0.10017878048604513</c:v>
                </c:pt>
                <c:pt idx="33">
                  <c:v>6.6812369624051501E-2</c:v>
                </c:pt>
                <c:pt idx="34">
                  <c:v>4.2812070343416622E-2</c:v>
                </c:pt>
                <c:pt idx="35">
                  <c:v>2.6357475184795091E-2</c:v>
                </c:pt>
                <c:pt idx="36">
                  <c:v>1.5590843172068779E-2</c:v>
                </c:pt>
                <c:pt idx="37">
                  <c:v>8.8606099782715057E-3</c:v>
                </c:pt>
                <c:pt idx="38">
                  <c:v>4.8382227425375927E-3</c:v>
                </c:pt>
                <c:pt idx="39">
                  <c:v>2.5382612366654095E-3</c:v>
                </c:pt>
                <c:pt idx="40">
                  <c:v>1.2794254844620838E-3</c:v>
                </c:pt>
                <c:pt idx="41">
                  <c:v>6.1961496360317316E-4</c:v>
                </c:pt>
                <c:pt idx="42">
                  <c:v>2.8830821574928788E-4</c:v>
                </c:pt>
                <c:pt idx="43">
                  <c:v>1.2889033728358146E-4</c:v>
                </c:pt>
                <c:pt idx="44">
                  <c:v>5.5362019332786134E-5</c:v>
                </c:pt>
                <c:pt idx="45">
                  <c:v>2.2847132789982247E-5</c:v>
                </c:pt>
                <c:pt idx="46">
                  <c:v>9.0589885305367958E-6</c:v>
                </c:pt>
                <c:pt idx="47">
                  <c:v>3.4510872122571284E-6</c:v>
                </c:pt>
                <c:pt idx="48">
                  <c:v>1.2631658614863875E-6</c:v>
                </c:pt>
                <c:pt idx="49">
                  <c:v>4.4421482252549718E-7</c:v>
                </c:pt>
                <c:pt idx="50">
                  <c:v>1.5009075173603477E-7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12-4595-B236-104F6A9AE4B0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Cadmium!$T$46:$T$97</c:f>
              <c:numCache>
                <c:formatCode>0.0</c:formatCode>
                <c:ptCount val="52"/>
                <c:pt idx="0">
                  <c:v>-1.6379999999999999E-3</c:v>
                </c:pt>
                <c:pt idx="1">
                  <c:v>1.6379999999999999E-3</c:v>
                </c:pt>
                <c:pt idx="2">
                  <c:v>0.162162</c:v>
                </c:pt>
                <c:pt idx="3">
                  <c:v>0.165438</c:v>
                </c:pt>
                <c:pt idx="4">
                  <c:v>0.32596200000000003</c:v>
                </c:pt>
                <c:pt idx="5">
                  <c:v>0.32923799999999998</c:v>
                </c:pt>
                <c:pt idx="6">
                  <c:v>0.48976200000000003</c:v>
                </c:pt>
                <c:pt idx="7">
                  <c:v>0.49303799999999998</c:v>
                </c:pt>
                <c:pt idx="8">
                  <c:v>0.65356199999999998</c:v>
                </c:pt>
                <c:pt idx="9">
                  <c:v>0.65683800000000003</c:v>
                </c:pt>
                <c:pt idx="10">
                  <c:v>0.81736199999999992</c:v>
                </c:pt>
                <c:pt idx="11">
                  <c:v>0.82063799999999998</c:v>
                </c:pt>
                <c:pt idx="12">
                  <c:v>0.98116199999999998</c:v>
                </c:pt>
                <c:pt idx="13">
                  <c:v>0.98443800000000004</c:v>
                </c:pt>
                <c:pt idx="14">
                  <c:v>1.144962</c:v>
                </c:pt>
                <c:pt idx="15">
                  <c:v>1.1482380000000001</c:v>
                </c:pt>
                <c:pt idx="16">
                  <c:v>1.308762</c:v>
                </c:pt>
                <c:pt idx="17">
                  <c:v>1.312038</c:v>
                </c:pt>
                <c:pt idx="18">
                  <c:v>1.4725619999999999</c:v>
                </c:pt>
                <c:pt idx="19">
                  <c:v>1.475838</c:v>
                </c:pt>
                <c:pt idx="20">
                  <c:v>1.6363619999999999</c:v>
                </c:pt>
                <c:pt idx="21">
                  <c:v>1.6396379999999999</c:v>
                </c:pt>
                <c:pt idx="22">
                  <c:v>1.800162</c:v>
                </c:pt>
                <c:pt idx="23">
                  <c:v>1.8034380000000001</c:v>
                </c:pt>
                <c:pt idx="24">
                  <c:v>1.963962</c:v>
                </c:pt>
                <c:pt idx="25">
                  <c:v>1.967238</c:v>
                </c:pt>
                <c:pt idx="26">
                  <c:v>2.1277620000000002</c:v>
                </c:pt>
                <c:pt idx="27">
                  <c:v>2.1310379999999998</c:v>
                </c:pt>
                <c:pt idx="28">
                  <c:v>2.2915620000000003</c:v>
                </c:pt>
                <c:pt idx="29">
                  <c:v>2.2948379999999999</c:v>
                </c:pt>
                <c:pt idx="30">
                  <c:v>2.455362</c:v>
                </c:pt>
                <c:pt idx="31">
                  <c:v>2.4586379999999997</c:v>
                </c:pt>
                <c:pt idx="32">
                  <c:v>2.6191620000000002</c:v>
                </c:pt>
                <c:pt idx="33">
                  <c:v>2.6224379999999998</c:v>
                </c:pt>
                <c:pt idx="34">
                  <c:v>2.7829620000000004</c:v>
                </c:pt>
                <c:pt idx="35">
                  <c:v>2.786238</c:v>
                </c:pt>
                <c:pt idx="36">
                  <c:v>2.9467620000000001</c:v>
                </c:pt>
                <c:pt idx="37">
                  <c:v>2.9500379999999997</c:v>
                </c:pt>
                <c:pt idx="38">
                  <c:v>3.1105620000000003</c:v>
                </c:pt>
                <c:pt idx="39">
                  <c:v>3.1138379999999999</c:v>
                </c:pt>
                <c:pt idx="40">
                  <c:v>3.274362</c:v>
                </c:pt>
                <c:pt idx="41">
                  <c:v>3.2776379999999996</c:v>
                </c:pt>
                <c:pt idx="42">
                  <c:v>3.4381620000000002</c:v>
                </c:pt>
                <c:pt idx="43">
                  <c:v>3.4414379999999998</c:v>
                </c:pt>
                <c:pt idx="44">
                  <c:v>3.6019620000000003</c:v>
                </c:pt>
                <c:pt idx="45">
                  <c:v>3.6052379999999999</c:v>
                </c:pt>
                <c:pt idx="46">
                  <c:v>3.7657620000000001</c:v>
                </c:pt>
                <c:pt idx="47">
                  <c:v>3.7690379999999997</c:v>
                </c:pt>
                <c:pt idx="48">
                  <c:v>3.9295620000000002</c:v>
                </c:pt>
                <c:pt idx="49">
                  <c:v>3.9328379999999998</c:v>
                </c:pt>
                <c:pt idx="50">
                  <c:v>4.0933619999999999</c:v>
                </c:pt>
                <c:pt idx="51">
                  <c:v>4.0966379999999996</c:v>
                </c:pt>
              </c:numCache>
            </c:numRef>
          </c:xVal>
          <c:yVal>
            <c:numRef>
              <c:f>Cadmium!$U$46:$U$97</c:f>
              <c:numCache>
                <c:formatCode>0.0000</c:formatCode>
                <c:ptCount val="52"/>
                <c:pt idx="0">
                  <c:v>0</c:v>
                </c:pt>
                <c:pt idx="1">
                  <c:v>0.35911800617682971</c:v>
                </c:pt>
                <c:pt idx="2">
                  <c:v>0.35911800617682971</c:v>
                </c:pt>
                <c:pt idx="3">
                  <c:v>0.35911800617682971</c:v>
                </c:pt>
                <c:pt idx="4">
                  <c:v>0.35911800617682971</c:v>
                </c:pt>
                <c:pt idx="5">
                  <c:v>0.80801551389786674</c:v>
                </c:pt>
                <c:pt idx="6">
                  <c:v>0.80801551389786674</c:v>
                </c:pt>
                <c:pt idx="7">
                  <c:v>0.80801551389786674</c:v>
                </c:pt>
                <c:pt idx="8">
                  <c:v>0.80801551389786674</c:v>
                </c:pt>
                <c:pt idx="9">
                  <c:v>0.44889750772103709</c:v>
                </c:pt>
                <c:pt idx="10">
                  <c:v>0.44889750772103709</c:v>
                </c:pt>
                <c:pt idx="11">
                  <c:v>0.35911800617682971</c:v>
                </c:pt>
                <c:pt idx="12">
                  <c:v>0.35911800617682971</c:v>
                </c:pt>
                <c:pt idx="13">
                  <c:v>0.62845651080945197</c:v>
                </c:pt>
                <c:pt idx="14">
                  <c:v>0.62845651080945197</c:v>
                </c:pt>
                <c:pt idx="15">
                  <c:v>0.80801551389786674</c:v>
                </c:pt>
                <c:pt idx="16">
                  <c:v>0.80801551389786674</c:v>
                </c:pt>
                <c:pt idx="17">
                  <c:v>8.9779501544207427E-2</c:v>
                </c:pt>
                <c:pt idx="18">
                  <c:v>8.9779501544207427E-2</c:v>
                </c:pt>
                <c:pt idx="19">
                  <c:v>0.26933850463262227</c:v>
                </c:pt>
                <c:pt idx="20">
                  <c:v>0.26933850463262227</c:v>
                </c:pt>
                <c:pt idx="21">
                  <c:v>0.35911800617682971</c:v>
                </c:pt>
                <c:pt idx="22">
                  <c:v>0.35911800617682971</c:v>
                </c:pt>
                <c:pt idx="23">
                  <c:v>0.17955900308841485</c:v>
                </c:pt>
                <c:pt idx="24">
                  <c:v>0.17955900308841485</c:v>
                </c:pt>
                <c:pt idx="25">
                  <c:v>0</c:v>
                </c:pt>
                <c:pt idx="26">
                  <c:v>0</c:v>
                </c:pt>
                <c:pt idx="27">
                  <c:v>0.17955900308841485</c:v>
                </c:pt>
                <c:pt idx="28">
                  <c:v>0.17955900308841485</c:v>
                </c:pt>
                <c:pt idx="29">
                  <c:v>0</c:v>
                </c:pt>
                <c:pt idx="30">
                  <c:v>0</c:v>
                </c:pt>
                <c:pt idx="31">
                  <c:v>0.17955900308841485</c:v>
                </c:pt>
                <c:pt idx="32">
                  <c:v>0.17955900308841485</c:v>
                </c:pt>
                <c:pt idx="33">
                  <c:v>0.17955900308841485</c:v>
                </c:pt>
                <c:pt idx="34">
                  <c:v>0.17955900308841485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8.9779501544207427E-2</c:v>
                </c:pt>
                <c:pt idx="42">
                  <c:v>8.9779501544207427E-2</c:v>
                </c:pt>
                <c:pt idx="43">
                  <c:v>0.17955900308841485</c:v>
                </c:pt>
                <c:pt idx="44">
                  <c:v>0.17955900308841485</c:v>
                </c:pt>
                <c:pt idx="45">
                  <c:v>8.9779501544207427E-2</c:v>
                </c:pt>
                <c:pt idx="46">
                  <c:v>8.9779501544207427E-2</c:v>
                </c:pt>
                <c:pt idx="47">
                  <c:v>0</c:v>
                </c:pt>
                <c:pt idx="48">
                  <c:v>0</c:v>
                </c:pt>
                <c:pt idx="49">
                  <c:v>8.9779501544207427E-2</c:v>
                </c:pt>
                <c:pt idx="50">
                  <c:v>8.9779501544207427E-2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12-4595-B236-104F6A9AE4B0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Cadmium!$U$3:$V$3</c:f>
              <c:numCache>
                <c:formatCode>0.000</c:formatCode>
                <c:ptCount val="2"/>
                <c:pt idx="0">
                  <c:v>2.8670711490219478</c:v>
                </c:pt>
                <c:pt idx="1">
                  <c:v>2.8670711490219478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12-4595-B236-104F6A9AE4B0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Cadmium!$U$4:$V$4</c:f>
              <c:numCache>
                <c:formatCode>0.000</c:formatCode>
                <c:ptCount val="2"/>
                <c:pt idx="0">
                  <c:v>2.7355536551739323</c:v>
                </c:pt>
                <c:pt idx="1">
                  <c:v>2.7355536551739323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12-4595-B236-104F6A9AE4B0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Cadmium!$U$5:$V$5</c:f>
              <c:numCache>
                <c:formatCode>0.000</c:formatCode>
                <c:ptCount val="2"/>
                <c:pt idx="0">
                  <c:v>3.2024550248473842</c:v>
                </c:pt>
                <c:pt idx="1">
                  <c:v>3.2024550248473842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12-4595-B236-104F6A9AE4B0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Cadmium!$U$6:$V$6</c:f>
              <c:numCache>
                <c:formatCode>0.000</c:formatCode>
                <c:ptCount val="2"/>
                <c:pt idx="0">
                  <c:v>3.5108750256515586</c:v>
                </c:pt>
                <c:pt idx="1">
                  <c:v>3.5108750256515586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D12-4595-B236-104F6A9AE4B0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Cadmium!$U$7:$V$7</c:f>
              <c:numCache>
                <c:formatCode>0.000</c:formatCode>
                <c:ptCount val="2"/>
                <c:pt idx="0">
                  <c:v>-0.72118879608077169</c:v>
                </c:pt>
                <c:pt idx="1">
                  <c:v>-0.72118879608077169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D12-4595-B236-104F6A9AE4B0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Cadmium!$U$8:$V$8</c:f>
              <c:numCache>
                <c:formatCode>0.000</c:formatCode>
                <c:ptCount val="2"/>
                <c:pt idx="0">
                  <c:v>-0.71955765902691537</c:v>
                </c:pt>
                <c:pt idx="1">
                  <c:v>-0.71955765902691537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D12-4595-B236-104F6A9AE4B0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Cadmium!$U$11:$V$11</c:f>
              <c:numCache>
                <c:formatCode>0.000</c:formatCode>
                <c:ptCount val="2"/>
                <c:pt idx="0">
                  <c:v>0.86499999999999999</c:v>
                </c:pt>
                <c:pt idx="1">
                  <c:v>0.86499999999999999</c:v>
                </c:pt>
              </c:numCache>
            </c:numRef>
          </c:xVal>
          <c:yVal>
            <c:numRef>
              <c:f>Cadmium!$U$2:$V$2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D12-4595-B236-104F6A9A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76512"/>
        <c:axId val="155778048"/>
      </c:scatterChart>
      <c:valAx>
        <c:axId val="155776512"/>
        <c:scaling>
          <c:orientation val="minMax"/>
          <c:max val="5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5778048"/>
        <c:crosses val="autoZero"/>
        <c:crossBetween val="midCat"/>
        <c:majorUnit val="2"/>
        <c:minorUnit val="1"/>
      </c:valAx>
      <c:valAx>
        <c:axId val="155778048"/>
        <c:scaling>
          <c:orientation val="minMax"/>
          <c:max val="1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5776512"/>
        <c:crosses val="autoZero"/>
        <c:crossBetween val="midCat"/>
        <c:majorUnit val="0.2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Cadmium!$M$3:$M$252</c:f>
              <c:numCache>
                <c:formatCode>d/m/yyyy;@</c:formatCode>
                <c:ptCount val="250"/>
                <c:pt idx="0">
                  <c:v>35878</c:v>
                </c:pt>
                <c:pt idx="1">
                  <c:v>35977</c:v>
                </c:pt>
                <c:pt idx="2">
                  <c:v>36067</c:v>
                </c:pt>
                <c:pt idx="3">
                  <c:v>36130</c:v>
                </c:pt>
                <c:pt idx="4">
                  <c:v>36241</c:v>
                </c:pt>
                <c:pt idx="5">
                  <c:v>36305</c:v>
                </c:pt>
                <c:pt idx="6">
                  <c:v>36384</c:v>
                </c:pt>
                <c:pt idx="7">
                  <c:v>36474</c:v>
                </c:pt>
                <c:pt idx="8">
                  <c:v>36585</c:v>
                </c:pt>
                <c:pt idx="9">
                  <c:v>36692</c:v>
                </c:pt>
                <c:pt idx="10">
                  <c:v>36781</c:v>
                </c:pt>
                <c:pt idx="11">
                  <c:v>36857</c:v>
                </c:pt>
                <c:pt idx="12">
                  <c:v>36979</c:v>
                </c:pt>
                <c:pt idx="13">
                  <c:v>37053</c:v>
                </c:pt>
                <c:pt idx="14">
                  <c:v>37145</c:v>
                </c:pt>
                <c:pt idx="15">
                  <c:v>37224</c:v>
                </c:pt>
                <c:pt idx="16">
                  <c:v>37306</c:v>
                </c:pt>
                <c:pt idx="17">
                  <c:v>37418</c:v>
                </c:pt>
                <c:pt idx="18">
                  <c:v>37494</c:v>
                </c:pt>
                <c:pt idx="19">
                  <c:v>37557</c:v>
                </c:pt>
                <c:pt idx="20">
                  <c:v>37663</c:v>
                </c:pt>
                <c:pt idx="21">
                  <c:v>37774</c:v>
                </c:pt>
                <c:pt idx="22">
                  <c:v>37868</c:v>
                </c:pt>
                <c:pt idx="23">
                  <c:v>37952</c:v>
                </c:pt>
                <c:pt idx="24">
                  <c:v>38034</c:v>
                </c:pt>
                <c:pt idx="25">
                  <c:v>38154</c:v>
                </c:pt>
                <c:pt idx="26">
                  <c:v>38222</c:v>
                </c:pt>
                <c:pt idx="27">
                  <c:v>38302</c:v>
                </c:pt>
                <c:pt idx="28">
                  <c:v>38378</c:v>
                </c:pt>
                <c:pt idx="29">
                  <c:v>38489</c:v>
                </c:pt>
                <c:pt idx="30">
                  <c:v>38575</c:v>
                </c:pt>
                <c:pt idx="31">
                  <c:v>38663</c:v>
                </c:pt>
                <c:pt idx="32">
                  <c:v>38777</c:v>
                </c:pt>
                <c:pt idx="33">
                  <c:v>38876</c:v>
                </c:pt>
                <c:pt idx="34">
                  <c:v>38932</c:v>
                </c:pt>
                <c:pt idx="35">
                  <c:v>39071</c:v>
                </c:pt>
                <c:pt idx="36">
                  <c:v>39126</c:v>
                </c:pt>
                <c:pt idx="37">
                  <c:v>39252</c:v>
                </c:pt>
                <c:pt idx="38">
                  <c:v>39329</c:v>
                </c:pt>
                <c:pt idx="39">
                  <c:v>39419</c:v>
                </c:pt>
                <c:pt idx="40">
                  <c:v>39511</c:v>
                </c:pt>
                <c:pt idx="41">
                  <c:v>39609</c:v>
                </c:pt>
                <c:pt idx="42">
                  <c:v>39672</c:v>
                </c:pt>
                <c:pt idx="43">
                  <c:v>39771</c:v>
                </c:pt>
                <c:pt idx="44">
                  <c:v>39888</c:v>
                </c:pt>
                <c:pt idx="45">
                  <c:v>39973</c:v>
                </c:pt>
                <c:pt idx="46">
                  <c:v>40071</c:v>
                </c:pt>
                <c:pt idx="47">
                  <c:v>40150</c:v>
                </c:pt>
                <c:pt idx="48">
                  <c:v>40246</c:v>
                </c:pt>
                <c:pt idx="49">
                  <c:v>40339</c:v>
                </c:pt>
                <c:pt idx="50">
                  <c:v>40428</c:v>
                </c:pt>
                <c:pt idx="51">
                  <c:v>40512</c:v>
                </c:pt>
                <c:pt idx="52">
                  <c:v>40589</c:v>
                </c:pt>
                <c:pt idx="53">
                  <c:v>40724</c:v>
                </c:pt>
                <c:pt idx="54">
                  <c:v>40801</c:v>
                </c:pt>
                <c:pt idx="55">
                  <c:v>40879</c:v>
                </c:pt>
                <c:pt idx="56">
                  <c:v>40961</c:v>
                </c:pt>
                <c:pt idx="57">
                  <c:v>41065</c:v>
                </c:pt>
                <c:pt idx="58">
                  <c:v>41151</c:v>
                </c:pt>
                <c:pt idx="59">
                  <c:v>41249</c:v>
                </c:pt>
                <c:pt idx="60">
                  <c:v>41697</c:v>
                </c:pt>
                <c:pt idx="61">
                  <c:v>41802</c:v>
                </c:pt>
                <c:pt idx="62">
                  <c:v>41911</c:v>
                </c:pt>
                <c:pt idx="63">
                  <c:v>41970</c:v>
                </c:pt>
                <c:pt idx="64">
                  <c:v>42075</c:v>
                </c:pt>
                <c:pt idx="65">
                  <c:v>42171</c:v>
                </c:pt>
                <c:pt idx="66">
                  <c:v>42261</c:v>
                </c:pt>
                <c:pt idx="67">
                  <c:v>42341</c:v>
                </c:pt>
              </c:numCache>
            </c:numRef>
          </c:xVal>
          <c:yVal>
            <c:numRef>
              <c:f>Cadmium!$N$3:$N$252</c:f>
              <c:numCache>
                <c:formatCode>General</c:formatCode>
                <c:ptCount val="250"/>
                <c:pt idx="0">
                  <c:v>3.3</c:v>
                </c:pt>
                <c:pt idx="1">
                  <c:v>1</c:v>
                </c:pt>
                <c:pt idx="2">
                  <c:v>1.4</c:v>
                </c:pt>
                <c:pt idx="3">
                  <c:v>3.5</c:v>
                </c:pt>
                <c:pt idx="4">
                  <c:v>3.3</c:v>
                </c:pt>
                <c:pt idx="5">
                  <c:v>1</c:v>
                </c:pt>
                <c:pt idx="6">
                  <c:v>0.5</c:v>
                </c:pt>
                <c:pt idx="7">
                  <c:v>1</c:v>
                </c:pt>
                <c:pt idx="8">
                  <c:v>2.6</c:v>
                </c:pt>
                <c:pt idx="9">
                  <c:v>0.7</c:v>
                </c:pt>
                <c:pt idx="10">
                  <c:v>0.2</c:v>
                </c:pt>
                <c:pt idx="11">
                  <c:v>0.1</c:v>
                </c:pt>
                <c:pt idx="12">
                  <c:v>2.2999999999999998</c:v>
                </c:pt>
                <c:pt idx="13">
                  <c:v>1.7</c:v>
                </c:pt>
                <c:pt idx="14">
                  <c:v>0.7</c:v>
                </c:pt>
                <c:pt idx="15">
                  <c:v>0.1</c:v>
                </c:pt>
                <c:pt idx="16">
                  <c:v>1</c:v>
                </c:pt>
                <c:pt idx="17">
                  <c:v>3.9</c:v>
                </c:pt>
                <c:pt idx="18">
                  <c:v>0.2</c:v>
                </c:pt>
                <c:pt idx="19">
                  <c:v>0.2</c:v>
                </c:pt>
                <c:pt idx="20">
                  <c:v>1.8</c:v>
                </c:pt>
                <c:pt idx="21">
                  <c:v>0.4</c:v>
                </c:pt>
                <c:pt idx="22">
                  <c:v>1</c:v>
                </c:pt>
                <c:pt idx="23">
                  <c:v>1.6</c:v>
                </c:pt>
                <c:pt idx="24">
                  <c:v>2.2999999999999998</c:v>
                </c:pt>
                <c:pt idx="25">
                  <c:v>2</c:v>
                </c:pt>
                <c:pt idx="26">
                  <c:v>0.4</c:v>
                </c:pt>
                <c:pt idx="27">
                  <c:v>0.2</c:v>
                </c:pt>
                <c:pt idx="28">
                  <c:v>2</c:v>
                </c:pt>
                <c:pt idx="29">
                  <c:v>1.4</c:v>
                </c:pt>
                <c:pt idx="30">
                  <c:v>0.5</c:v>
                </c:pt>
                <c:pt idx="31">
                  <c:v>0.25</c:v>
                </c:pt>
                <c:pt idx="32">
                  <c:v>1.1000000000000001</c:v>
                </c:pt>
                <c:pt idx="33">
                  <c:v>0.75</c:v>
                </c:pt>
                <c:pt idx="34">
                  <c:v>0.35</c:v>
                </c:pt>
                <c:pt idx="35">
                  <c:v>0.4</c:v>
                </c:pt>
                <c:pt idx="36">
                  <c:v>1.2</c:v>
                </c:pt>
                <c:pt idx="37">
                  <c:v>0.53</c:v>
                </c:pt>
                <c:pt idx="38">
                  <c:v>2.5</c:v>
                </c:pt>
                <c:pt idx="39">
                  <c:v>0.9</c:v>
                </c:pt>
                <c:pt idx="40">
                  <c:v>0.27</c:v>
                </c:pt>
                <c:pt idx="41">
                  <c:v>0.31</c:v>
                </c:pt>
                <c:pt idx="42">
                  <c:v>0.18</c:v>
                </c:pt>
                <c:pt idx="43">
                  <c:v>1</c:v>
                </c:pt>
                <c:pt idx="44">
                  <c:v>0.5</c:v>
                </c:pt>
                <c:pt idx="45">
                  <c:v>0.28999999999999998</c:v>
                </c:pt>
                <c:pt idx="46">
                  <c:v>0.69</c:v>
                </c:pt>
                <c:pt idx="47">
                  <c:v>0.4</c:v>
                </c:pt>
                <c:pt idx="48">
                  <c:v>0.98</c:v>
                </c:pt>
                <c:pt idx="49">
                  <c:v>0.82</c:v>
                </c:pt>
                <c:pt idx="50">
                  <c:v>0.52</c:v>
                </c:pt>
                <c:pt idx="51">
                  <c:v>1</c:v>
                </c:pt>
                <c:pt idx="52">
                  <c:v>0.42</c:v>
                </c:pt>
                <c:pt idx="53">
                  <c:v>1.6</c:v>
                </c:pt>
                <c:pt idx="54">
                  <c:v>0.15</c:v>
                </c:pt>
                <c:pt idx="55">
                  <c:v>0.13</c:v>
                </c:pt>
                <c:pt idx="56">
                  <c:v>0.88</c:v>
                </c:pt>
                <c:pt idx="57">
                  <c:v>0.48</c:v>
                </c:pt>
                <c:pt idx="58">
                  <c:v>3.2</c:v>
                </c:pt>
                <c:pt idx="59">
                  <c:v>0.36</c:v>
                </c:pt>
                <c:pt idx="60">
                  <c:v>0.85</c:v>
                </c:pt>
                <c:pt idx="61">
                  <c:v>1.5</c:v>
                </c:pt>
                <c:pt idx="62">
                  <c:v>1.5</c:v>
                </c:pt>
                <c:pt idx="63">
                  <c:v>1.1000000000000001</c:v>
                </c:pt>
                <c:pt idx="64">
                  <c:v>0.36</c:v>
                </c:pt>
                <c:pt idx="65">
                  <c:v>0.95</c:v>
                </c:pt>
                <c:pt idx="66">
                  <c:v>1.4</c:v>
                </c:pt>
                <c:pt idx="67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64-475F-A14C-3CF61509842B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Cadmium!$E$57:$E$58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Cadmium!$F$57:$F$58</c:f>
              <c:numCache>
                <c:formatCode>0.000</c:formatCode>
                <c:ptCount val="2"/>
                <c:pt idx="0">
                  <c:v>2.8670711490219478</c:v>
                </c:pt>
                <c:pt idx="1">
                  <c:v>2.8670711490219478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64-475F-A14C-3CF61509842B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Cadmium!$E$57:$E$58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Cadmium!$J$57:$J$58</c:f>
              <c:numCache>
                <c:formatCode>0.000</c:formatCode>
                <c:ptCount val="2"/>
                <c:pt idx="0">
                  <c:v>2.7355536551739323</c:v>
                </c:pt>
                <c:pt idx="1">
                  <c:v>2.7355536551739323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64-475F-A14C-3CF61509842B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Cadmium!$G$122:$G$123</c:f>
              <c:numCache>
                <c:formatCode>d/m/yyyy;@</c:formatCode>
                <c:ptCount val="2"/>
                <c:pt idx="0">
                  <c:v>0.1</c:v>
                </c:pt>
                <c:pt idx="1">
                  <c:v>42341</c:v>
                </c:pt>
              </c:numCache>
            </c:numRef>
          </c:xVal>
          <c:yVal>
            <c:numRef>
              <c:f>Cadmium!$I$122:$I$123</c:f>
              <c:numCache>
                <c:formatCode>General</c:formatCode>
                <c:ptCount val="2"/>
                <c:pt idx="0">
                  <c:v>6.0406418894436635</c:v>
                </c:pt>
                <c:pt idx="1">
                  <c:v>0.64171420026459902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64-475F-A14C-3CF61509842B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Cadmium!$G$122:$G$123</c:f>
              <c:numCache>
                <c:formatCode>d/m/yyyy;@</c:formatCode>
                <c:ptCount val="2"/>
                <c:pt idx="0">
                  <c:v>0.1</c:v>
                </c:pt>
                <c:pt idx="1">
                  <c:v>42341</c:v>
                </c:pt>
              </c:numCache>
            </c:numRef>
          </c:xVal>
          <c:yVal>
            <c:numRef>
              <c:f>Cadmium!$J$122:$J$123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64-475F-A14C-3CF61509842B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Cadmium!$E$57:$E$58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Cadmium!$G$57:$G$58</c:f>
              <c:numCache>
                <c:formatCode>0.000</c:formatCode>
                <c:ptCount val="2"/>
                <c:pt idx="0">
                  <c:v>-0.72118879608077169</c:v>
                </c:pt>
                <c:pt idx="1">
                  <c:v>-0.72118879608077169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64-475F-A14C-3CF61509842B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Cadmium!$E$57:$E$58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Cadmium!$H$57:$H$58</c:f>
              <c:numCache>
                <c:formatCode>0.000</c:formatCode>
                <c:ptCount val="2"/>
                <c:pt idx="0">
                  <c:v>3.2024550248473842</c:v>
                </c:pt>
                <c:pt idx="1">
                  <c:v>3.2024550248473842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564-475F-A14C-3CF61509842B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Cadmium!$E$57:$E$58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Cadmium!$K$57:$K$58</c:f>
              <c:numCache>
                <c:formatCode>0.000</c:formatCode>
                <c:ptCount val="2"/>
                <c:pt idx="0">
                  <c:v>3.5108750256515586</c:v>
                </c:pt>
                <c:pt idx="1">
                  <c:v>3.5108750256515586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64-475F-A14C-3CF615098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68192"/>
        <c:axId val="156169728"/>
      </c:scatterChart>
      <c:valAx>
        <c:axId val="15616819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6169728"/>
        <c:crossesAt val="0"/>
        <c:crossBetween val="midCat"/>
        <c:majorUnit val="1461"/>
        <c:minorUnit val="365.25"/>
      </c:valAx>
      <c:valAx>
        <c:axId val="156169728"/>
        <c:scaling>
          <c:orientation val="minMax"/>
          <c:max val="5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6168192"/>
        <c:crossesAt val="0"/>
        <c:crossBetween val="midCat"/>
        <c:majorUnit val="1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'Chrom ges'!$F$63:$F$113</c:f>
              <c:numCache>
                <c:formatCode>General</c:formatCode>
                <c:ptCount val="51"/>
                <c:pt idx="0">
                  <c:v>-15.052648437510225</c:v>
                </c:pt>
                <c:pt idx="1">
                  <c:v>-14.259013088245112</c:v>
                </c:pt>
                <c:pt idx="2">
                  <c:v>-13.465377738979996</c:v>
                </c:pt>
                <c:pt idx="3">
                  <c:v>-12.671742389714883</c:v>
                </c:pt>
                <c:pt idx="4">
                  <c:v>-11.878107040449766</c:v>
                </c:pt>
                <c:pt idx="5">
                  <c:v>-11.084471691184651</c:v>
                </c:pt>
                <c:pt idx="6">
                  <c:v>-10.290836341919535</c:v>
                </c:pt>
                <c:pt idx="7">
                  <c:v>-9.4972009926544221</c:v>
                </c:pt>
                <c:pt idx="8">
                  <c:v>-8.7035656433893056</c:v>
                </c:pt>
                <c:pt idx="9">
                  <c:v>-7.9099302941241927</c:v>
                </c:pt>
                <c:pt idx="10">
                  <c:v>-7.1162949448590762</c:v>
                </c:pt>
                <c:pt idx="11">
                  <c:v>-6.3226595955939615</c:v>
                </c:pt>
                <c:pt idx="12">
                  <c:v>-5.5290242463288468</c:v>
                </c:pt>
                <c:pt idx="13">
                  <c:v>-4.7353888970637321</c:v>
                </c:pt>
                <c:pt idx="14">
                  <c:v>-3.9417535477986174</c:v>
                </c:pt>
                <c:pt idx="15">
                  <c:v>-3.1481181985335018</c:v>
                </c:pt>
                <c:pt idx="16">
                  <c:v>-2.3544828492683871</c:v>
                </c:pt>
                <c:pt idx="17">
                  <c:v>-1.5608475000032724</c:v>
                </c:pt>
                <c:pt idx="18">
                  <c:v>-0.76721215073815685</c:v>
                </c:pt>
                <c:pt idx="19">
                  <c:v>2.6423198526957847E-2</c:v>
                </c:pt>
                <c:pt idx="20">
                  <c:v>0.82005854779207299</c:v>
                </c:pt>
                <c:pt idx="21">
                  <c:v>1.6136938970571877</c:v>
                </c:pt>
                <c:pt idx="22">
                  <c:v>2.4073292463223028</c:v>
                </c:pt>
                <c:pt idx="23">
                  <c:v>3.2009645955874175</c:v>
                </c:pt>
                <c:pt idx="24">
                  <c:v>3.9945999448525327</c:v>
                </c:pt>
                <c:pt idx="25">
                  <c:v>4.7882352941176478</c:v>
                </c:pt>
                <c:pt idx="26">
                  <c:v>5.5818706433827625</c:v>
                </c:pt>
                <c:pt idx="27">
                  <c:v>6.3755059926478781</c:v>
                </c:pt>
                <c:pt idx="28">
                  <c:v>7.1691413419129928</c:v>
                </c:pt>
                <c:pt idx="29">
                  <c:v>7.9627766911781475</c:v>
                </c:pt>
                <c:pt idx="30">
                  <c:v>8.7564120404432622</c:v>
                </c:pt>
                <c:pt idx="31">
                  <c:v>9.5500473897083769</c:v>
                </c:pt>
                <c:pt idx="32">
                  <c:v>10.343682738973492</c:v>
                </c:pt>
                <c:pt idx="33">
                  <c:v>11.137318088238608</c:v>
                </c:pt>
                <c:pt idx="34">
                  <c:v>11.930953437503723</c:v>
                </c:pt>
                <c:pt idx="35">
                  <c:v>12.724588786768837</c:v>
                </c:pt>
                <c:pt idx="36">
                  <c:v>13.518224136033952</c:v>
                </c:pt>
                <c:pt idx="37">
                  <c:v>14.311859485299067</c:v>
                </c:pt>
                <c:pt idx="38">
                  <c:v>15.105494834564182</c:v>
                </c:pt>
                <c:pt idx="39">
                  <c:v>15.899130183829298</c:v>
                </c:pt>
                <c:pt idx="40">
                  <c:v>16.692765533094413</c:v>
                </c:pt>
                <c:pt idx="41">
                  <c:v>17.486400882359526</c:v>
                </c:pt>
                <c:pt idx="42">
                  <c:v>18.280036231624642</c:v>
                </c:pt>
                <c:pt idx="43">
                  <c:v>19.073671580889759</c:v>
                </c:pt>
                <c:pt idx="44">
                  <c:v>19.867306930154871</c:v>
                </c:pt>
                <c:pt idx="45">
                  <c:v>20.660942279419984</c:v>
                </c:pt>
                <c:pt idx="46">
                  <c:v>21.454577628685101</c:v>
                </c:pt>
                <c:pt idx="47">
                  <c:v>22.248212977950217</c:v>
                </c:pt>
                <c:pt idx="48">
                  <c:v>23.041848327215334</c:v>
                </c:pt>
                <c:pt idx="49">
                  <c:v>23.835483676480447</c:v>
                </c:pt>
                <c:pt idx="50">
                  <c:v>24.629119025745521</c:v>
                </c:pt>
              </c:numCache>
            </c:numRef>
          </c:xVal>
          <c:yVal>
            <c:numRef>
              <c:f>'Chrom ges'!$G$63:$G$113</c:f>
              <c:numCache>
                <c:formatCode>General</c:formatCode>
                <c:ptCount val="51"/>
                <c:pt idx="0">
                  <c:v>3.7466060858074435E-7</c:v>
                </c:pt>
                <c:pt idx="1">
                  <c:v>9.9826679713803882E-7</c:v>
                </c:pt>
                <c:pt idx="2">
                  <c:v>2.555544451208459E-6</c:v>
                </c:pt>
                <c:pt idx="3">
                  <c:v>6.2856250828921846E-6</c:v>
                </c:pt>
                <c:pt idx="4">
                  <c:v>1.4853942131262058E-5</c:v>
                </c:pt>
                <c:pt idx="5">
                  <c:v>3.3725873195746273E-5</c:v>
                </c:pt>
                <c:pt idx="6">
                  <c:v>7.3572057006229699E-5</c:v>
                </c:pt>
                <c:pt idx="7">
                  <c:v>1.5420228715376063E-4</c:v>
                </c:pt>
                <c:pt idx="8">
                  <c:v>3.1052527325402572E-4</c:v>
                </c:pt>
                <c:pt idx="9">
                  <c:v>6.008019183299842E-4</c:v>
                </c:pt>
                <c:pt idx="10">
                  <c:v>1.1168475335786845E-3</c:v>
                </c:pt>
                <c:pt idx="11">
                  <c:v>1.9947326162599644E-3</c:v>
                </c:pt>
                <c:pt idx="12">
                  <c:v>3.4229748577260521E-3</c:v>
                </c:pt>
                <c:pt idx="13">
                  <c:v>5.6435314570046895E-3</c:v>
                </c:pt>
                <c:pt idx="14">
                  <c:v>8.9397713645391289E-3</c:v>
                </c:pt>
                <c:pt idx="15">
                  <c:v>1.3605988332848894E-2</c:v>
                </c:pt>
                <c:pt idx="16">
                  <c:v>1.9895827063146791E-2</c:v>
                </c:pt>
                <c:pt idx="17">
                  <c:v>2.7952594294638023E-2</c:v>
                </c:pt>
                <c:pt idx="18">
                  <c:v>3.7732055603215887E-2</c:v>
                </c:pt>
                <c:pt idx="19">
                  <c:v>4.8935838143556495E-2</c:v>
                </c:pt>
                <c:pt idx="20">
                  <c:v>6.0977809202476113E-2</c:v>
                </c:pt>
                <c:pt idx="21">
                  <c:v>7.300369194233329E-2</c:v>
                </c:pt>
                <c:pt idx="22">
                  <c:v>8.3974234061110473E-2</c:v>
                </c:pt>
                <c:pt idx="23">
                  <c:v>9.2805881352016784E-2</c:v>
                </c:pt>
                <c:pt idx="24">
                  <c:v>9.8544676553923891E-2</c:v>
                </c:pt>
                <c:pt idx="25">
                  <c:v>0.10053541107281638</c:v>
                </c:pt>
                <c:pt idx="26">
                  <c:v>9.8544676553923904E-2</c:v>
                </c:pt>
                <c:pt idx="27">
                  <c:v>9.2805881352016784E-2</c:v>
                </c:pt>
                <c:pt idx="28">
                  <c:v>8.3974234061110473E-2</c:v>
                </c:pt>
                <c:pt idx="29">
                  <c:v>7.3003691942332721E-2</c:v>
                </c:pt>
                <c:pt idx="30">
                  <c:v>6.0977809202475503E-2</c:v>
                </c:pt>
                <c:pt idx="31">
                  <c:v>4.8935838143555906E-2</c:v>
                </c:pt>
                <c:pt idx="32">
                  <c:v>3.773205560321536E-2</c:v>
                </c:pt>
                <c:pt idx="33">
                  <c:v>2.7952594294637565E-2</c:v>
                </c:pt>
                <c:pt idx="34">
                  <c:v>1.9895827063146434E-2</c:v>
                </c:pt>
                <c:pt idx="35">
                  <c:v>1.3605988332848614E-2</c:v>
                </c:pt>
                <c:pt idx="36">
                  <c:v>8.9397713645389364E-3</c:v>
                </c:pt>
                <c:pt idx="37">
                  <c:v>5.6435314570045516E-3</c:v>
                </c:pt>
                <c:pt idx="38">
                  <c:v>3.4229748577259658E-3</c:v>
                </c:pt>
                <c:pt idx="39">
                  <c:v>1.9947326162599076E-3</c:v>
                </c:pt>
                <c:pt idx="40">
                  <c:v>1.1168475335786507E-3</c:v>
                </c:pt>
                <c:pt idx="41">
                  <c:v>6.0080191832996652E-4</c:v>
                </c:pt>
                <c:pt idx="42">
                  <c:v>3.1052527325401498E-4</c:v>
                </c:pt>
                <c:pt idx="43">
                  <c:v>1.5420228715375505E-4</c:v>
                </c:pt>
                <c:pt idx="44">
                  <c:v>7.3572057006226894E-5</c:v>
                </c:pt>
                <c:pt idx="45">
                  <c:v>3.3725873195744951E-5</c:v>
                </c:pt>
                <c:pt idx="46">
                  <c:v>1.4853942131261452E-5</c:v>
                </c:pt>
                <c:pt idx="47">
                  <c:v>6.2856250828919169E-6</c:v>
                </c:pt>
                <c:pt idx="48">
                  <c:v>2.5555444512083319E-6</c:v>
                </c:pt>
                <c:pt idx="49">
                  <c:v>9.9826679713799266E-7</c:v>
                </c:pt>
                <c:pt idx="50">
                  <c:v>3.7466060858074435E-7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B-4418-8F61-B5C50C0F0DA4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'Chrom ges'!$I$63:$I$113</c:f>
              <c:numCache>
                <c:formatCode>General</c:formatCode>
                <c:ptCount val="51"/>
                <c:pt idx="0">
                  <c:v>0.50612673196205116</c:v>
                </c:pt>
                <c:pt idx="1">
                  <c:v>0.50777698106856817</c:v>
                </c:pt>
                <c:pt idx="2">
                  <c:v>0.50987172850313811</c:v>
                </c:pt>
                <c:pt idx="3">
                  <c:v>0.51253070089543262</c:v>
                </c:pt>
                <c:pt idx="4">
                  <c:v>0.51590587351352712</c:v>
                </c:pt>
                <c:pt idx="5">
                  <c:v>0.52019015650756939</c:v>
                </c:pt>
                <c:pt idx="6">
                  <c:v>0.52562842081281902</c:v>
                </c:pt>
                <c:pt idx="7">
                  <c:v>0.53253149390460097</c:v>
                </c:pt>
                <c:pt idx="8">
                  <c:v>0.5412939253415</c:v>
                </c:pt>
                <c:pt idx="9">
                  <c:v>0.55241653749778186</c:v>
                </c:pt>
                <c:pt idx="10">
                  <c:v>0.5665350503865797</c:v>
                </c:pt>
                <c:pt idx="11">
                  <c:v>0.58445641664392745</c:v>
                </c:pt>
                <c:pt idx="12">
                  <c:v>0.60720494342289366</c:v>
                </c:pt>
                <c:pt idx="13">
                  <c:v>0.6360808373241843</c:v>
                </c:pt>
                <c:pt idx="14">
                  <c:v>0.67273451853617228</c:v>
                </c:pt>
                <c:pt idx="15">
                  <c:v>0.71926095165656789</c:v>
                </c:pt>
                <c:pt idx="16">
                  <c:v>0.77831938473418871</c:v>
                </c:pt>
                <c:pt idx="17">
                  <c:v>0.85328534029236036</c:v>
                </c:pt>
                <c:pt idx="18">
                  <c:v>0.94844354547812137</c:v>
                </c:pt>
                <c:pt idx="19">
                  <c:v>1.0692328283833308</c:v>
                </c:pt>
                <c:pt idx="20">
                  <c:v>1.2225569777435792</c:v>
                </c:pt>
                <c:pt idx="21">
                  <c:v>1.4171793333998508</c:v>
                </c:pt>
                <c:pt idx="22">
                  <c:v>1.6642236605932079</c:v>
                </c:pt>
                <c:pt idx="23">
                  <c:v>1.9778099358832211</c:v>
                </c:pt>
                <c:pt idx="24">
                  <c:v>2.3758613834410429</c:v>
                </c:pt>
                <c:pt idx="25">
                  <c:v>2.8811288883927277</c:v>
                </c:pt>
                <c:pt idx="26">
                  <c:v>3.5224913382127765</c:v>
                </c:pt>
                <c:pt idx="27">
                  <c:v>4.3366062140120984</c:v>
                </c:pt>
                <c:pt idx="28">
                  <c:v>5.3700047723213782</c:v>
                </c:pt>
                <c:pt idx="29">
                  <c:v>6.6817515688250637</c:v>
                </c:pt>
                <c:pt idx="30">
                  <c:v>8.3468203308259312</c:v>
                </c:pt>
                <c:pt idx="31">
                  <c:v>10.460379128591534</c:v>
                </c:pt>
                <c:pt idx="32">
                  <c:v>13.143229767290901</c:v>
                </c:pt>
                <c:pt idx="33">
                  <c:v>16.548712291448172</c:v>
                </c:pt>
                <c:pt idx="34">
                  <c:v>20.871469233281839</c:v>
                </c:pt>
                <c:pt idx="35">
                  <c:v>26.358570531150114</c:v>
                </c:pt>
                <c:pt idx="36">
                  <c:v>33.323634969933053</c:v>
                </c:pt>
                <c:pt idx="37">
                  <c:v>42.16475526331012</c:v>
                </c:pt>
                <c:pt idx="38">
                  <c:v>53.387251297477732</c:v>
                </c:pt>
                <c:pt idx="39">
                  <c:v>67.632552012507446</c:v>
                </c:pt>
                <c:pt idx="40">
                  <c:v>85.714856683749701</c:v>
                </c:pt>
                <c:pt idx="41">
                  <c:v>108.6676710022746</c:v>
                </c:pt>
                <c:pt idx="42">
                  <c:v>137.80287775379833</c:v>
                </c:pt>
                <c:pt idx="43">
                  <c:v>174.78571831853583</c:v>
                </c:pt>
                <c:pt idx="44">
                  <c:v>221.72997060757316</c:v>
                </c:pt>
                <c:pt idx="45">
                  <c:v>281.31876339159817</c:v>
                </c:pt>
                <c:pt idx="46">
                  <c:v>356.95793224223735</c:v>
                </c:pt>
                <c:pt idx="47">
                  <c:v>452.97068224292684</c:v>
                </c:pt>
                <c:pt idx="48">
                  <c:v>574.84468354109151</c:v>
                </c:pt>
                <c:pt idx="49">
                  <c:v>729.5457226459846</c:v>
                </c:pt>
                <c:pt idx="50">
                  <c:v>925.9158364127577</c:v>
                </c:pt>
              </c:numCache>
            </c:numRef>
          </c:xVal>
          <c:yVal>
            <c:numRef>
              <c:f>'Chrom ges'!$J$63:$J$113</c:f>
              <c:numCache>
                <c:formatCode>General</c:formatCode>
                <c:ptCount val="51"/>
                <c:pt idx="0">
                  <c:v>2.0348364153816587E-4</c:v>
                </c:pt>
                <c:pt idx="1">
                  <c:v>4.2712592515487934E-4</c:v>
                </c:pt>
                <c:pt idx="2">
                  <c:v>8.6141133968763346E-4</c:v>
                </c:pt>
                <c:pt idx="3">
                  <c:v>1.6691426613232615E-3</c:v>
                </c:pt>
                <c:pt idx="4">
                  <c:v>3.1074528723180469E-3</c:v>
                </c:pt>
                <c:pt idx="5">
                  <c:v>5.5583240826952377E-3</c:v>
                </c:pt>
                <c:pt idx="6">
                  <c:v>9.552375807407339E-3</c:v>
                </c:pt>
                <c:pt idx="7">
                  <c:v>1.5772740410747249E-2</c:v>
                </c:pt>
                <c:pt idx="8">
                  <c:v>2.5022525017097078E-2</c:v>
                </c:pt>
                <c:pt idx="9">
                  <c:v>3.8140231894602278E-2</c:v>
                </c:pt>
                <c:pt idx="10">
                  <c:v>5.5855217475695378E-2</c:v>
                </c:pt>
                <c:pt idx="11">
                  <c:v>7.8590922342498939E-2</c:v>
                </c:pt>
                <c:pt idx="12">
                  <c:v>0.10624518204187279</c:v>
                </c:pt>
                <c:pt idx="13">
                  <c:v>0.13799848704243797</c:v>
                </c:pt>
                <c:pt idx="14">
                  <c:v>0.17221367149917791</c:v>
                </c:pt>
                <c:pt idx="15">
                  <c:v>0.20648530390396297</c:v>
                </c:pt>
                <c:pt idx="16">
                  <c:v>0.23786957105636919</c:v>
                </c:pt>
                <c:pt idx="17">
                  <c:v>0.26327938350294267</c:v>
                </c:pt>
                <c:pt idx="18">
                  <c:v>0.27997743856757434</c:v>
                </c:pt>
                <c:pt idx="19">
                  <c:v>0.28606020158656259</c:v>
                </c:pt>
                <c:pt idx="20">
                  <c:v>0.28081484682860852</c:v>
                </c:pt>
                <c:pt idx="21">
                  <c:v>0.26485666806222147</c:v>
                </c:pt>
                <c:pt idx="22">
                  <c:v>0.24001035416652933</c:v>
                </c:pt>
                <c:pt idx="23">
                  <c:v>0.20896678692879236</c:v>
                </c:pt>
                <c:pt idx="24">
                  <c:v>0.17480456622845891</c:v>
                </c:pt>
                <c:pt idx="25">
                  <c:v>0.14049358731092659</c:v>
                </c:pt>
                <c:pt idx="26">
                  <c:v>0.1084896857408444</c:v>
                </c:pt>
                <c:pt idx="27">
                  <c:v>8.0491240634785535E-2</c:v>
                </c:pt>
                <c:pt idx="28">
                  <c:v>5.7376891024038069E-2</c:v>
                </c:pt>
                <c:pt idx="29">
                  <c:v>3.9296477633439214E-2</c:v>
                </c:pt>
                <c:pt idx="30">
                  <c:v>2.5858209883167591E-2</c:v>
                </c:pt>
                <c:pt idx="31">
                  <c:v>1.6348258990423477E-2</c:v>
                </c:pt>
                <c:pt idx="32">
                  <c:v>9.9305381232525879E-3</c:v>
                </c:pt>
                <c:pt idx="33">
                  <c:v>5.7956516948940466E-3</c:v>
                </c:pt>
                <c:pt idx="34">
                  <c:v>3.2498251306897737E-3</c:v>
                </c:pt>
                <c:pt idx="35">
                  <c:v>1.7508378578985583E-3</c:v>
                </c:pt>
                <c:pt idx="36">
                  <c:v>9.062751782063543E-4</c:v>
                </c:pt>
                <c:pt idx="37">
                  <c:v>4.5071546796632224E-4</c:v>
                </c:pt>
                <c:pt idx="38">
                  <c:v>2.1536397620076187E-4</c:v>
                </c:pt>
                <c:pt idx="39">
                  <c:v>9.8871672278328027E-5</c:v>
                </c:pt>
                <c:pt idx="40">
                  <c:v>4.3611288614739238E-5</c:v>
                </c:pt>
                <c:pt idx="41">
                  <c:v>1.8482221876029973E-5</c:v>
                </c:pt>
                <c:pt idx="42">
                  <c:v>7.5255398635168541E-6</c:v>
                </c:pt>
                <c:pt idx="43">
                  <c:v>2.9440783414809999E-6</c:v>
                </c:pt>
                <c:pt idx="44">
                  <c:v>1.1065964809473086E-6</c:v>
                </c:pt>
                <c:pt idx="45">
                  <c:v>3.9962939724547594E-7</c:v>
                </c:pt>
                <c:pt idx="46">
                  <c:v>1.3866082885412297E-7</c:v>
                </c:pt>
                <c:pt idx="47">
                  <c:v>4.6225155046880949E-8</c:v>
                </c:pt>
                <c:pt idx="48">
                  <c:v>1.4805776250059121E-8</c:v>
                </c:pt>
                <c:pt idx="49">
                  <c:v>4.5562989132809593E-9</c:v>
                </c:pt>
                <c:pt idx="50">
                  <c:v>1.3471670586479964E-9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B-4418-8F61-B5C50C0F0DA4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'Chrom ges'!$T$46:$T$97</c:f>
              <c:numCache>
                <c:formatCode>0.0</c:formatCode>
                <c:ptCount val="52"/>
                <c:pt idx="0">
                  <c:v>-5.0400000000000002E-3</c:v>
                </c:pt>
                <c:pt idx="1">
                  <c:v>5.0400000000000002E-3</c:v>
                </c:pt>
                <c:pt idx="2">
                  <c:v>0.49896000000000001</c:v>
                </c:pt>
                <c:pt idx="3">
                  <c:v>0.50904000000000005</c:v>
                </c:pt>
                <c:pt idx="4">
                  <c:v>1.0029600000000001</c:v>
                </c:pt>
                <c:pt idx="5">
                  <c:v>1.0130399999999999</c:v>
                </c:pt>
                <c:pt idx="6">
                  <c:v>1.5069600000000001</c:v>
                </c:pt>
                <c:pt idx="7">
                  <c:v>1.5170399999999999</c:v>
                </c:pt>
                <c:pt idx="8">
                  <c:v>2.0109599999999999</c:v>
                </c:pt>
                <c:pt idx="9">
                  <c:v>2.0210400000000002</c:v>
                </c:pt>
                <c:pt idx="10">
                  <c:v>2.5149599999999999</c:v>
                </c:pt>
                <c:pt idx="11">
                  <c:v>2.5250400000000002</c:v>
                </c:pt>
                <c:pt idx="12">
                  <c:v>3.0189599999999999</c:v>
                </c:pt>
                <c:pt idx="13">
                  <c:v>3.0290400000000002</c:v>
                </c:pt>
                <c:pt idx="14">
                  <c:v>3.5229599999999999</c:v>
                </c:pt>
                <c:pt idx="15">
                  <c:v>3.5330400000000002</c:v>
                </c:pt>
                <c:pt idx="16">
                  <c:v>4.0269599999999999</c:v>
                </c:pt>
                <c:pt idx="17">
                  <c:v>4.0370400000000002</c:v>
                </c:pt>
                <c:pt idx="18">
                  <c:v>4.5309599999999994</c:v>
                </c:pt>
                <c:pt idx="19">
                  <c:v>4.5410399999999997</c:v>
                </c:pt>
                <c:pt idx="20">
                  <c:v>5.0349599999999999</c:v>
                </c:pt>
                <c:pt idx="21">
                  <c:v>5.0450400000000002</c:v>
                </c:pt>
                <c:pt idx="22">
                  <c:v>5.5389600000000003</c:v>
                </c:pt>
                <c:pt idx="23">
                  <c:v>5.5490400000000006</c:v>
                </c:pt>
                <c:pt idx="24">
                  <c:v>6.0429599999999999</c:v>
                </c:pt>
                <c:pt idx="25">
                  <c:v>6.0530400000000002</c:v>
                </c:pt>
                <c:pt idx="26">
                  <c:v>6.5469599999999994</c:v>
                </c:pt>
                <c:pt idx="27">
                  <c:v>6.5570399999999998</c:v>
                </c:pt>
                <c:pt idx="28">
                  <c:v>7.0509599999999999</c:v>
                </c:pt>
                <c:pt idx="29">
                  <c:v>7.0610400000000002</c:v>
                </c:pt>
                <c:pt idx="30">
                  <c:v>7.5549600000000003</c:v>
                </c:pt>
                <c:pt idx="31">
                  <c:v>7.5650400000000007</c:v>
                </c:pt>
                <c:pt idx="32">
                  <c:v>8.0589600000000008</c:v>
                </c:pt>
                <c:pt idx="33">
                  <c:v>8.0690399999999993</c:v>
                </c:pt>
                <c:pt idx="34">
                  <c:v>8.5629600000000003</c:v>
                </c:pt>
                <c:pt idx="35">
                  <c:v>8.5730399999999989</c:v>
                </c:pt>
                <c:pt idx="36">
                  <c:v>9.0669599999999999</c:v>
                </c:pt>
                <c:pt idx="37">
                  <c:v>9.0770399999999984</c:v>
                </c:pt>
                <c:pt idx="38">
                  <c:v>9.5709600000000012</c:v>
                </c:pt>
                <c:pt idx="39">
                  <c:v>9.5810399999999998</c:v>
                </c:pt>
                <c:pt idx="40">
                  <c:v>10.074960000000001</c:v>
                </c:pt>
                <c:pt idx="41">
                  <c:v>10.085039999999999</c:v>
                </c:pt>
                <c:pt idx="42">
                  <c:v>10.57896</c:v>
                </c:pt>
                <c:pt idx="43">
                  <c:v>10.589039999999999</c:v>
                </c:pt>
                <c:pt idx="44">
                  <c:v>11.082960000000002</c:v>
                </c:pt>
                <c:pt idx="45">
                  <c:v>11.09304</c:v>
                </c:pt>
                <c:pt idx="46">
                  <c:v>11.586960000000001</c:v>
                </c:pt>
                <c:pt idx="47">
                  <c:v>11.59704</c:v>
                </c:pt>
                <c:pt idx="48">
                  <c:v>12.090960000000001</c:v>
                </c:pt>
                <c:pt idx="49">
                  <c:v>12.101039999999999</c:v>
                </c:pt>
                <c:pt idx="50">
                  <c:v>12.59496</c:v>
                </c:pt>
                <c:pt idx="51">
                  <c:v>12.605039999999999</c:v>
                </c:pt>
              </c:numCache>
            </c:numRef>
          </c:xVal>
          <c:yVal>
            <c:numRef>
              <c:f>'Chrom ges'!$U$46:$U$97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0.52521008403361347</c:v>
                </c:pt>
                <c:pt idx="6">
                  <c:v>0.52521008403361347</c:v>
                </c:pt>
                <c:pt idx="7">
                  <c:v>8.7535014005602249E-2</c:v>
                </c:pt>
                <c:pt idx="8">
                  <c:v>8.7535014005602249E-2</c:v>
                </c:pt>
                <c:pt idx="9">
                  <c:v>0.1750700280112045</c:v>
                </c:pt>
                <c:pt idx="10">
                  <c:v>0.1750700280112045</c:v>
                </c:pt>
                <c:pt idx="11">
                  <c:v>8.7535014005602249E-2</c:v>
                </c:pt>
                <c:pt idx="12">
                  <c:v>8.7535014005602249E-2</c:v>
                </c:pt>
                <c:pt idx="13">
                  <c:v>0.20424836601307189</c:v>
                </c:pt>
                <c:pt idx="14">
                  <c:v>0.20424836601307189</c:v>
                </c:pt>
                <c:pt idx="15">
                  <c:v>2.9178338001867414E-2</c:v>
                </c:pt>
                <c:pt idx="16">
                  <c:v>2.9178338001867414E-2</c:v>
                </c:pt>
                <c:pt idx="17">
                  <c:v>8.7535014005602249E-2</c:v>
                </c:pt>
                <c:pt idx="18">
                  <c:v>8.7535014005602249E-2</c:v>
                </c:pt>
                <c:pt idx="19">
                  <c:v>5.8356676003734828E-2</c:v>
                </c:pt>
                <c:pt idx="20">
                  <c:v>5.8356676003734828E-2</c:v>
                </c:pt>
                <c:pt idx="21">
                  <c:v>2.9178338001867414E-2</c:v>
                </c:pt>
                <c:pt idx="22">
                  <c:v>2.9178338001867414E-2</c:v>
                </c:pt>
                <c:pt idx="23">
                  <c:v>0</c:v>
                </c:pt>
                <c:pt idx="24">
                  <c:v>0</c:v>
                </c:pt>
                <c:pt idx="25">
                  <c:v>5.8356676003734828E-2</c:v>
                </c:pt>
                <c:pt idx="26">
                  <c:v>5.8356676003734828E-2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0.55438842203548078</c:v>
                </c:pt>
                <c:pt idx="42">
                  <c:v>0.55438842203548078</c:v>
                </c:pt>
                <c:pt idx="43">
                  <c:v>0</c:v>
                </c:pt>
                <c:pt idx="44">
                  <c:v>0</c:v>
                </c:pt>
                <c:pt idx="45">
                  <c:v>2.9178338001867414E-2</c:v>
                </c:pt>
                <c:pt idx="46">
                  <c:v>2.9178338001867414E-2</c:v>
                </c:pt>
                <c:pt idx="47">
                  <c:v>0</c:v>
                </c:pt>
                <c:pt idx="48">
                  <c:v>0</c:v>
                </c:pt>
                <c:pt idx="49">
                  <c:v>5.8356676003734828E-2</c:v>
                </c:pt>
                <c:pt idx="50">
                  <c:v>5.8356676003734828E-2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CB-4418-8F61-B5C50C0F0DA4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'Chrom ges'!$U$3:$V$3</c:f>
              <c:numCache>
                <c:formatCode>0.000</c:formatCode>
                <c:ptCount val="2"/>
                <c:pt idx="0">
                  <c:v>12.565718801205108</c:v>
                </c:pt>
                <c:pt idx="1">
                  <c:v>12.565718801205108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CB-4418-8F61-B5C50C0F0DA4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'Chrom ges'!$U$4:$V$4</c:f>
              <c:numCache>
                <c:formatCode>0.000</c:formatCode>
                <c:ptCount val="2"/>
                <c:pt idx="0">
                  <c:v>17.430522819654087</c:v>
                </c:pt>
                <c:pt idx="1">
                  <c:v>17.430522819654087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CB-4418-8F61-B5C50C0F0DA4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'Chrom ges'!$U$5:$V$5</c:f>
              <c:numCache>
                <c:formatCode>0.000</c:formatCode>
                <c:ptCount val="2"/>
                <c:pt idx="0">
                  <c:v>14.01959483175045</c:v>
                </c:pt>
                <c:pt idx="1">
                  <c:v>14.01959483175045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CB-4418-8F61-B5C50C0F0DA4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'Chrom ges'!$U$6:$V$6</c:f>
              <c:numCache>
                <c:formatCode>0.000</c:formatCode>
                <c:ptCount val="2"/>
                <c:pt idx="0">
                  <c:v>28.070310349946073</c:v>
                </c:pt>
                <c:pt idx="1">
                  <c:v>28.070310349946073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9CB-4418-8F61-B5C50C0F0DA4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'Chrom ges'!$U$7:$V$7</c:f>
              <c:numCache>
                <c:formatCode>0.000</c:formatCode>
                <c:ptCount val="2"/>
                <c:pt idx="0">
                  <c:v>-2.9892482129698124</c:v>
                </c:pt>
                <c:pt idx="1">
                  <c:v>-2.9892482129698124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9CB-4418-8F61-B5C50C0F0DA4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'Chrom ges'!$U$8:$V$8</c:f>
              <c:numCache>
                <c:formatCode>0.000</c:formatCode>
                <c:ptCount val="2"/>
                <c:pt idx="0">
                  <c:v>-1.4697484008542943</c:v>
                </c:pt>
                <c:pt idx="1">
                  <c:v>-1.4697484008542943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9CB-4418-8F61-B5C50C0F0DA4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'Chrom ges'!$U$11:$V$11</c:f>
              <c:numCache>
                <c:formatCode>0.000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xVal>
          <c:yVal>
            <c:numRef>
              <c:f>'Chrom ges'!$U$2:$V$2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9CB-4418-8F61-B5C50C0F0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15616"/>
        <c:axId val="156017408"/>
      </c:scatterChart>
      <c:valAx>
        <c:axId val="156015616"/>
        <c:scaling>
          <c:orientation val="minMax"/>
          <c:max val="2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6017408"/>
        <c:crosses val="autoZero"/>
        <c:crossBetween val="midCat"/>
        <c:majorUnit val="5"/>
        <c:minorUnit val="1"/>
      </c:valAx>
      <c:valAx>
        <c:axId val="156017408"/>
        <c:scaling>
          <c:orientation val="minMax"/>
          <c:max val="0.4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6015616"/>
        <c:crosses val="autoZero"/>
        <c:crossBetween val="midCat"/>
        <c:majorUnit val="0.1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'Chrom ges'!$M$3:$M$252</c:f>
              <c:numCache>
                <c:formatCode>d/m/yyyy;@</c:formatCode>
                <c:ptCount val="250"/>
                <c:pt idx="0">
                  <c:v>35878</c:v>
                </c:pt>
                <c:pt idx="1">
                  <c:v>35977</c:v>
                </c:pt>
                <c:pt idx="2">
                  <c:v>36067</c:v>
                </c:pt>
                <c:pt idx="3">
                  <c:v>36130</c:v>
                </c:pt>
                <c:pt idx="4">
                  <c:v>36241</c:v>
                </c:pt>
                <c:pt idx="5">
                  <c:v>36305</c:v>
                </c:pt>
                <c:pt idx="6">
                  <c:v>36384</c:v>
                </c:pt>
                <c:pt idx="7">
                  <c:v>36474</c:v>
                </c:pt>
                <c:pt idx="8">
                  <c:v>36585</c:v>
                </c:pt>
                <c:pt idx="9">
                  <c:v>36692</c:v>
                </c:pt>
                <c:pt idx="10">
                  <c:v>36781</c:v>
                </c:pt>
                <c:pt idx="11">
                  <c:v>36857</c:v>
                </c:pt>
                <c:pt idx="12">
                  <c:v>36979</c:v>
                </c:pt>
                <c:pt idx="13">
                  <c:v>37053</c:v>
                </c:pt>
                <c:pt idx="14">
                  <c:v>37145</c:v>
                </c:pt>
                <c:pt idx="15">
                  <c:v>37224</c:v>
                </c:pt>
                <c:pt idx="16">
                  <c:v>37306</c:v>
                </c:pt>
                <c:pt idx="17">
                  <c:v>37418</c:v>
                </c:pt>
                <c:pt idx="18">
                  <c:v>37494</c:v>
                </c:pt>
                <c:pt idx="19">
                  <c:v>37557</c:v>
                </c:pt>
                <c:pt idx="20">
                  <c:v>37663</c:v>
                </c:pt>
                <c:pt idx="21">
                  <c:v>37774</c:v>
                </c:pt>
                <c:pt idx="22">
                  <c:v>37868</c:v>
                </c:pt>
                <c:pt idx="23">
                  <c:v>37952</c:v>
                </c:pt>
                <c:pt idx="24">
                  <c:v>38034</c:v>
                </c:pt>
                <c:pt idx="25">
                  <c:v>38154</c:v>
                </c:pt>
                <c:pt idx="26">
                  <c:v>38222</c:v>
                </c:pt>
                <c:pt idx="27">
                  <c:v>38302</c:v>
                </c:pt>
                <c:pt idx="28">
                  <c:v>38378</c:v>
                </c:pt>
                <c:pt idx="29">
                  <c:v>38489</c:v>
                </c:pt>
                <c:pt idx="30">
                  <c:v>38575</c:v>
                </c:pt>
                <c:pt idx="31">
                  <c:v>38663</c:v>
                </c:pt>
                <c:pt idx="32">
                  <c:v>38777</c:v>
                </c:pt>
                <c:pt idx="33">
                  <c:v>38876</c:v>
                </c:pt>
                <c:pt idx="34">
                  <c:v>38932</c:v>
                </c:pt>
                <c:pt idx="35">
                  <c:v>39071</c:v>
                </c:pt>
                <c:pt idx="36">
                  <c:v>39126</c:v>
                </c:pt>
                <c:pt idx="37">
                  <c:v>39252</c:v>
                </c:pt>
                <c:pt idx="38">
                  <c:v>39329</c:v>
                </c:pt>
                <c:pt idx="39">
                  <c:v>39419</c:v>
                </c:pt>
                <c:pt idx="40">
                  <c:v>39511</c:v>
                </c:pt>
                <c:pt idx="41">
                  <c:v>39609</c:v>
                </c:pt>
                <c:pt idx="42">
                  <c:v>39672</c:v>
                </c:pt>
                <c:pt idx="43">
                  <c:v>39771</c:v>
                </c:pt>
                <c:pt idx="44">
                  <c:v>39888</c:v>
                </c:pt>
                <c:pt idx="45">
                  <c:v>39973</c:v>
                </c:pt>
                <c:pt idx="46">
                  <c:v>40071</c:v>
                </c:pt>
                <c:pt idx="47">
                  <c:v>40150</c:v>
                </c:pt>
                <c:pt idx="48">
                  <c:v>40246</c:v>
                </c:pt>
                <c:pt idx="49">
                  <c:v>40339</c:v>
                </c:pt>
                <c:pt idx="50">
                  <c:v>40428</c:v>
                </c:pt>
                <c:pt idx="51">
                  <c:v>40512</c:v>
                </c:pt>
                <c:pt idx="52">
                  <c:v>40589</c:v>
                </c:pt>
                <c:pt idx="53">
                  <c:v>40724</c:v>
                </c:pt>
                <c:pt idx="54">
                  <c:v>40801</c:v>
                </c:pt>
                <c:pt idx="55">
                  <c:v>40879</c:v>
                </c:pt>
                <c:pt idx="56">
                  <c:v>40961</c:v>
                </c:pt>
                <c:pt idx="57">
                  <c:v>41065</c:v>
                </c:pt>
                <c:pt idx="58">
                  <c:v>41151</c:v>
                </c:pt>
                <c:pt idx="59">
                  <c:v>41249</c:v>
                </c:pt>
                <c:pt idx="60">
                  <c:v>41697</c:v>
                </c:pt>
                <c:pt idx="61">
                  <c:v>41802</c:v>
                </c:pt>
                <c:pt idx="62">
                  <c:v>41911</c:v>
                </c:pt>
                <c:pt idx="63">
                  <c:v>41970</c:v>
                </c:pt>
                <c:pt idx="64">
                  <c:v>42075</c:v>
                </c:pt>
                <c:pt idx="65">
                  <c:v>42171</c:v>
                </c:pt>
                <c:pt idx="66">
                  <c:v>42261</c:v>
                </c:pt>
                <c:pt idx="67">
                  <c:v>42341</c:v>
                </c:pt>
              </c:numCache>
            </c:numRef>
          </c:xVal>
          <c:yVal>
            <c:numRef>
              <c:f>'Chrom ges'!$N$3:$N$252</c:f>
              <c:numCache>
                <c:formatCode>General</c:formatCode>
                <c:ptCount val="25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6</c:v>
                </c:pt>
                <c:pt idx="42">
                  <c:v>2</c:v>
                </c:pt>
                <c:pt idx="43">
                  <c:v>1</c:v>
                </c:pt>
                <c:pt idx="44">
                  <c:v>2.2000000000000002</c:v>
                </c:pt>
                <c:pt idx="45">
                  <c:v>1.9</c:v>
                </c:pt>
                <c:pt idx="46">
                  <c:v>3.3</c:v>
                </c:pt>
                <c:pt idx="47">
                  <c:v>2.6</c:v>
                </c:pt>
                <c:pt idx="48">
                  <c:v>1</c:v>
                </c:pt>
                <c:pt idx="49">
                  <c:v>1</c:v>
                </c:pt>
                <c:pt idx="50">
                  <c:v>1.4</c:v>
                </c:pt>
                <c:pt idx="51">
                  <c:v>1</c:v>
                </c:pt>
                <c:pt idx="52">
                  <c:v>1.5</c:v>
                </c:pt>
                <c:pt idx="53">
                  <c:v>3.6</c:v>
                </c:pt>
                <c:pt idx="54">
                  <c:v>1</c:v>
                </c:pt>
                <c:pt idx="55">
                  <c:v>1</c:v>
                </c:pt>
                <c:pt idx="56">
                  <c:v>2.1</c:v>
                </c:pt>
                <c:pt idx="57">
                  <c:v>4.0999999999999996</c:v>
                </c:pt>
                <c:pt idx="58">
                  <c:v>4</c:v>
                </c:pt>
                <c:pt idx="59">
                  <c:v>12</c:v>
                </c:pt>
                <c:pt idx="60">
                  <c:v>3.7</c:v>
                </c:pt>
                <c:pt idx="61">
                  <c:v>4.5</c:v>
                </c:pt>
                <c:pt idx="62">
                  <c:v>2.6</c:v>
                </c:pt>
                <c:pt idx="63">
                  <c:v>4.9000000000000004</c:v>
                </c:pt>
                <c:pt idx="64">
                  <c:v>1.1000000000000001</c:v>
                </c:pt>
                <c:pt idx="65">
                  <c:v>2.2000000000000002</c:v>
                </c:pt>
                <c:pt idx="66">
                  <c:v>11</c:v>
                </c:pt>
                <c:pt idx="67">
                  <c:v>5.9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89-43DA-B4CF-D3D72235A229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'Chrom ges'!$E$57:$E$58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'Chrom ges'!$F$57:$F$58</c:f>
              <c:numCache>
                <c:formatCode>0.000</c:formatCode>
                <c:ptCount val="2"/>
                <c:pt idx="0">
                  <c:v>12.565718801205108</c:v>
                </c:pt>
                <c:pt idx="1">
                  <c:v>12.565718801205108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89-43DA-B4CF-D3D72235A229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'Chrom ges'!$E$57:$E$58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'Chrom ges'!$J$57:$J$58</c:f>
              <c:numCache>
                <c:formatCode>0.000</c:formatCode>
                <c:ptCount val="2"/>
                <c:pt idx="0">
                  <c:v>17.430522819654087</c:v>
                </c:pt>
                <c:pt idx="1">
                  <c:v>17.430522819654087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89-43DA-B4CF-D3D72235A229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'Chrom ges'!$G$122:$G$123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42341</c:v>
                </c:pt>
              </c:numCache>
            </c:numRef>
          </c:xVal>
          <c:yVal>
            <c:numRef>
              <c:f>'Chrom ges'!$I$122:$I$123</c:f>
              <c:numCache>
                <c:formatCode>General</c:formatCode>
                <c:ptCount val="2"/>
                <c:pt idx="0">
                  <c:v>28.295132095629789</c:v>
                </c:pt>
                <c:pt idx="1">
                  <c:v>2.7476449302388879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89-43DA-B4CF-D3D72235A229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'Chrom ges'!$G$122:$G$123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42341</c:v>
                </c:pt>
              </c:numCache>
            </c:numRef>
          </c:xVal>
          <c:yVal>
            <c:numRef>
              <c:f>'Chrom ges'!$J$122:$J$123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89-43DA-B4CF-D3D72235A229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'Chrom ges'!$E$57:$E$58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'Chrom ges'!$G$57:$G$58</c:f>
              <c:numCache>
                <c:formatCode>0.000</c:formatCode>
                <c:ptCount val="2"/>
                <c:pt idx="0">
                  <c:v>-2.9892482129698124</c:v>
                </c:pt>
                <c:pt idx="1">
                  <c:v>-2.9892482129698124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89-43DA-B4CF-D3D72235A229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'Chrom ges'!$E$57:$E$58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'Chrom ges'!$H$57:$H$58</c:f>
              <c:numCache>
                <c:formatCode>0.000</c:formatCode>
                <c:ptCount val="2"/>
                <c:pt idx="0">
                  <c:v>14.01959483175045</c:v>
                </c:pt>
                <c:pt idx="1">
                  <c:v>14.01959483175045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A89-43DA-B4CF-D3D72235A229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'Chrom ges'!$E$57:$E$58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'Chrom ges'!$K$57:$K$58</c:f>
              <c:numCache>
                <c:formatCode>0.000</c:formatCode>
                <c:ptCount val="2"/>
                <c:pt idx="0">
                  <c:v>28.070310349946073</c:v>
                </c:pt>
                <c:pt idx="1">
                  <c:v>28.070310349946073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A89-43DA-B4CF-D3D72235A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67328"/>
        <c:axId val="156068864"/>
      </c:scatterChart>
      <c:valAx>
        <c:axId val="156067328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6068864"/>
        <c:crossesAt val="0"/>
        <c:crossBetween val="midCat"/>
        <c:majorUnit val="1461"/>
        <c:minorUnit val="365.25"/>
      </c:valAx>
      <c:valAx>
        <c:axId val="156068864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6067328"/>
        <c:crossesAt val="0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Kupfer!$F$63:$F$113</c:f>
              <c:numCache>
                <c:formatCode>General</c:formatCode>
                <c:ptCount val="51"/>
                <c:pt idx="0">
                  <c:v>-65.964127006335374</c:v>
                </c:pt>
                <c:pt idx="1">
                  <c:v>-62.883532075335701</c:v>
                </c:pt>
                <c:pt idx="2">
                  <c:v>-59.802937144336006</c:v>
                </c:pt>
                <c:pt idx="3">
                  <c:v>-56.72234221333634</c:v>
                </c:pt>
                <c:pt idx="4">
                  <c:v>-53.641747282336645</c:v>
                </c:pt>
                <c:pt idx="5">
                  <c:v>-50.561152351336965</c:v>
                </c:pt>
                <c:pt idx="6">
                  <c:v>-47.480557420337277</c:v>
                </c:pt>
                <c:pt idx="7">
                  <c:v>-44.399962489337597</c:v>
                </c:pt>
                <c:pt idx="8">
                  <c:v>-41.319367558337909</c:v>
                </c:pt>
                <c:pt idx="9">
                  <c:v>-38.238772627338228</c:v>
                </c:pt>
                <c:pt idx="10">
                  <c:v>-35.158177696338548</c:v>
                </c:pt>
                <c:pt idx="11">
                  <c:v>-32.07758276533886</c:v>
                </c:pt>
                <c:pt idx="12">
                  <c:v>-28.99698783433918</c:v>
                </c:pt>
                <c:pt idx="13">
                  <c:v>-25.916392903339492</c:v>
                </c:pt>
                <c:pt idx="14">
                  <c:v>-22.835797972339812</c:v>
                </c:pt>
                <c:pt idx="15">
                  <c:v>-19.755203041340124</c:v>
                </c:pt>
                <c:pt idx="16">
                  <c:v>-16.674608110340436</c:v>
                </c:pt>
                <c:pt idx="17">
                  <c:v>-13.594013179340754</c:v>
                </c:pt>
                <c:pt idx="18">
                  <c:v>-10.51341824834107</c:v>
                </c:pt>
                <c:pt idx="19">
                  <c:v>-7.432823317341386</c:v>
                </c:pt>
                <c:pt idx="20">
                  <c:v>-4.3522283863417019</c:v>
                </c:pt>
                <c:pt idx="21">
                  <c:v>-1.2716334553420179</c:v>
                </c:pt>
                <c:pt idx="22">
                  <c:v>1.8089614756576662</c:v>
                </c:pt>
                <c:pt idx="23">
                  <c:v>4.8895564066573503</c:v>
                </c:pt>
                <c:pt idx="24">
                  <c:v>7.9701513376570343</c:v>
                </c:pt>
                <c:pt idx="25">
                  <c:v>11.050746268656718</c:v>
                </c:pt>
                <c:pt idx="26">
                  <c:v>14.131341199656402</c:v>
                </c:pt>
                <c:pt idx="27">
                  <c:v>17.211936130656085</c:v>
                </c:pt>
                <c:pt idx="28">
                  <c:v>20.292531061655772</c:v>
                </c:pt>
                <c:pt idx="29">
                  <c:v>23.373125992655609</c:v>
                </c:pt>
                <c:pt idx="30">
                  <c:v>26.453720923655293</c:v>
                </c:pt>
                <c:pt idx="31">
                  <c:v>29.534315854654977</c:v>
                </c:pt>
                <c:pt idx="32">
                  <c:v>32.614910785654658</c:v>
                </c:pt>
                <c:pt idx="33">
                  <c:v>35.695505716654345</c:v>
                </c:pt>
                <c:pt idx="34">
                  <c:v>38.776100647654033</c:v>
                </c:pt>
                <c:pt idx="35">
                  <c:v>41.856695578653714</c:v>
                </c:pt>
                <c:pt idx="36">
                  <c:v>44.937290509653394</c:v>
                </c:pt>
                <c:pt idx="37">
                  <c:v>48.017885440653082</c:v>
                </c:pt>
                <c:pt idx="38">
                  <c:v>51.098480371652762</c:v>
                </c:pt>
                <c:pt idx="39">
                  <c:v>54.17907530265245</c:v>
                </c:pt>
                <c:pt idx="40">
                  <c:v>57.259670233652137</c:v>
                </c:pt>
                <c:pt idx="41">
                  <c:v>60.340265164651818</c:v>
                </c:pt>
                <c:pt idx="42">
                  <c:v>63.420860095651499</c:v>
                </c:pt>
                <c:pt idx="43">
                  <c:v>66.501455026651186</c:v>
                </c:pt>
                <c:pt idx="44">
                  <c:v>69.582049957650867</c:v>
                </c:pt>
                <c:pt idx="45">
                  <c:v>72.662644888650547</c:v>
                </c:pt>
                <c:pt idx="46">
                  <c:v>75.743239819650242</c:v>
                </c:pt>
                <c:pt idx="47">
                  <c:v>78.823834750649922</c:v>
                </c:pt>
                <c:pt idx="48">
                  <c:v>81.904429681649617</c:v>
                </c:pt>
                <c:pt idx="49">
                  <c:v>84.985024612649283</c:v>
                </c:pt>
                <c:pt idx="50">
                  <c:v>88.065619543648822</c:v>
                </c:pt>
              </c:numCache>
            </c:numRef>
          </c:xVal>
          <c:yVal>
            <c:numRef>
              <c:f>Kupfer!$G$63:$G$113</c:f>
              <c:numCache>
                <c:formatCode>General</c:formatCode>
                <c:ptCount val="51"/>
                <c:pt idx="0">
                  <c:v>9.6521584176718901E-8</c:v>
                </c:pt>
                <c:pt idx="1">
                  <c:v>2.5717753744057444E-7</c:v>
                </c:pt>
                <c:pt idx="2">
                  <c:v>6.5836971705955189E-7</c:v>
                </c:pt>
                <c:pt idx="3">
                  <c:v>1.6193282043711895E-6</c:v>
                </c:pt>
                <c:pt idx="4">
                  <c:v>3.8267327627791841E-6</c:v>
                </c:pt>
                <c:pt idx="5">
                  <c:v>8.6885961161700749E-6</c:v>
                </c:pt>
                <c:pt idx="6">
                  <c:v>1.895393145354041E-5</c:v>
                </c:pt>
                <c:pt idx="7">
                  <c:v>3.9726218072767105E-5</c:v>
                </c:pt>
                <c:pt idx="8">
                  <c:v>7.9998779201597426E-5</c:v>
                </c:pt>
                <c:pt idx="9">
                  <c:v>1.5478102476077109E-4</c:v>
                </c:pt>
                <c:pt idx="10">
                  <c:v>2.8772678727351019E-4</c:v>
                </c:pt>
                <c:pt idx="11">
                  <c:v>5.1389109962674158E-4</c:v>
                </c:pt>
                <c:pt idx="12">
                  <c:v>8.8184065337521044E-4</c:v>
                </c:pt>
                <c:pt idx="13">
                  <c:v>1.4539094425878088E-3</c:v>
                </c:pt>
                <c:pt idx="14">
                  <c:v>2.3031001245411749E-3</c:v>
                </c:pt>
                <c:pt idx="15">
                  <c:v>3.5052298482921573E-3</c:v>
                </c:pt>
                <c:pt idx="16">
                  <c:v>5.1256435895824879E-3</c:v>
                </c:pt>
                <c:pt idx="17">
                  <c:v>7.2012606112716419E-3</c:v>
                </c:pt>
                <c:pt idx="18">
                  <c:v>9.7206850617751802E-3</c:v>
                </c:pt>
                <c:pt idx="19">
                  <c:v>1.2607048919618761E-2</c:v>
                </c:pt>
                <c:pt idx="20">
                  <c:v>1.5709350300113716E-2</c:v>
                </c:pt>
                <c:pt idx="21">
                  <c:v>1.8807506942658956E-2</c:v>
                </c:pt>
                <c:pt idx="22">
                  <c:v>2.1633782457965996E-2</c:v>
                </c:pt>
                <c:pt idx="23">
                  <c:v>2.390902722051912E-2</c:v>
                </c:pt>
                <c:pt idx="24">
                  <c:v>2.5387478895095017E-2</c:v>
                </c:pt>
                <c:pt idx="25">
                  <c:v>2.5900339988676923E-2</c:v>
                </c:pt>
                <c:pt idx="26">
                  <c:v>2.5387478895095017E-2</c:v>
                </c:pt>
                <c:pt idx="27">
                  <c:v>2.3909027220519123E-2</c:v>
                </c:pt>
                <c:pt idx="28">
                  <c:v>2.1633782457965996E-2</c:v>
                </c:pt>
                <c:pt idx="29">
                  <c:v>1.8807506942658807E-2</c:v>
                </c:pt>
                <c:pt idx="30">
                  <c:v>1.5709350300113556E-2</c:v>
                </c:pt>
                <c:pt idx="31">
                  <c:v>1.2607048919618604E-2</c:v>
                </c:pt>
                <c:pt idx="32">
                  <c:v>9.7206850617750466E-3</c:v>
                </c:pt>
                <c:pt idx="33">
                  <c:v>7.2012606112715274E-3</c:v>
                </c:pt>
                <c:pt idx="34">
                  <c:v>5.1256435895823899E-3</c:v>
                </c:pt>
                <c:pt idx="35">
                  <c:v>3.5052298482920853E-3</c:v>
                </c:pt>
                <c:pt idx="36">
                  <c:v>2.3031001245411259E-3</c:v>
                </c:pt>
                <c:pt idx="37">
                  <c:v>1.4539094425877735E-3</c:v>
                </c:pt>
                <c:pt idx="38">
                  <c:v>8.818406533751881E-4</c:v>
                </c:pt>
                <c:pt idx="39">
                  <c:v>5.1389109962672683E-4</c:v>
                </c:pt>
                <c:pt idx="40">
                  <c:v>2.8772678727350206E-4</c:v>
                </c:pt>
                <c:pt idx="41">
                  <c:v>1.5478102476076629E-4</c:v>
                </c:pt>
                <c:pt idx="42">
                  <c:v>7.9998779201594648E-5</c:v>
                </c:pt>
                <c:pt idx="43">
                  <c:v>3.9726218072765661E-5</c:v>
                </c:pt>
                <c:pt idx="44">
                  <c:v>1.8953931453539685E-5</c:v>
                </c:pt>
                <c:pt idx="45">
                  <c:v>8.6885961161697344E-6</c:v>
                </c:pt>
                <c:pt idx="46">
                  <c:v>3.8267327627790274E-6</c:v>
                </c:pt>
                <c:pt idx="47">
                  <c:v>1.6193282043711204E-6</c:v>
                </c:pt>
                <c:pt idx="48">
                  <c:v>6.5836971705951917E-7</c:v>
                </c:pt>
                <c:pt idx="49">
                  <c:v>2.5717753744056253E-7</c:v>
                </c:pt>
                <c:pt idx="50">
                  <c:v>9.6521584176718901E-8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43-47C4-B484-3C4A83411F58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Kupfer!$I$63:$I$113</c:f>
              <c:numCache>
                <c:formatCode>General</c:formatCode>
                <c:ptCount val="51"/>
                <c:pt idx="0">
                  <c:v>0.11150344606511803</c:v>
                </c:pt>
                <c:pt idx="1">
                  <c:v>0.13182298532601378</c:v>
                </c:pt>
                <c:pt idx="2">
                  <c:v>0.15584540275207365</c:v>
                </c:pt>
                <c:pt idx="3">
                  <c:v>0.18424548267428068</c:v>
                </c:pt>
                <c:pt idx="4">
                  <c:v>0.2178209769837243</c:v>
                </c:pt>
                <c:pt idx="5">
                  <c:v>0.2575150138037402</c:v>
                </c:pt>
                <c:pt idx="6">
                  <c:v>0.30444258974788979</c:v>
                </c:pt>
                <c:pt idx="7">
                  <c:v>0.35992188992537744</c:v>
                </c:pt>
                <c:pt idx="8">
                  <c:v>0.42551131546585313</c:v>
                </c:pt>
                <c:pt idx="9">
                  <c:v>0.50305325865848205</c:v>
                </c:pt>
                <c:pt idx="10">
                  <c:v>0.59472585533915356</c:v>
                </c:pt>
                <c:pt idx="11">
                  <c:v>0.70310416823879573</c:v>
                </c:pt>
                <c:pt idx="12">
                  <c:v>0.83123251991937175</c:v>
                </c:pt>
                <c:pt idx="13">
                  <c:v>0.98271000711354384</c:v>
                </c:pt>
                <c:pt idx="14">
                  <c:v>1.1617915985466667</c:v>
                </c:pt>
                <c:pt idx="15">
                  <c:v>1.3735076560563266</c:v>
                </c:pt>
                <c:pt idx="16">
                  <c:v>1.623805236330917</c:v>
                </c:pt>
                <c:pt idx="17">
                  <c:v>1.9197151424014882</c:v>
                </c:pt>
                <c:pt idx="18">
                  <c:v>2.2695494173258934</c:v>
                </c:pt>
                <c:pt idx="19">
                  <c:v>2.6831348276186353</c:v>
                </c:pt>
                <c:pt idx="20">
                  <c:v>3.1720888949237276</c:v>
                </c:pt>
                <c:pt idx="21">
                  <c:v>3.7501462295984962</c:v>
                </c:pt>
                <c:pt idx="22">
                  <c:v>4.4335443328456829</c:v>
                </c:pt>
                <c:pt idx="23">
                  <c:v>5.2414797044894286</c:v>
                </c:pt>
                <c:pt idx="24">
                  <c:v>6.1966470683605168</c:v>
                </c:pt>
                <c:pt idx="25">
                  <c:v>7.3258768620113131</c:v>
                </c:pt>
                <c:pt idx="26">
                  <c:v>8.6608888977038525</c:v>
                </c:pt>
                <c:pt idx="27">
                  <c:v>10.239183364839635</c:v>
                </c:pt>
                <c:pt idx="28">
                  <c:v>12.10509420189004</c:v>
                </c:pt>
                <c:pt idx="29">
                  <c:v>14.311034426809298</c:v>
                </c:pt>
                <c:pt idx="30">
                  <c:v>16.918968406982053</c:v>
                </c:pt>
                <c:pt idx="31">
                  <c:v>20.002152424440624</c:v>
                </c:pt>
                <c:pt idx="32">
                  <c:v>23.647192428437315</c:v>
                </c:pt>
                <c:pt idx="33">
                  <c:v>27.95647677718269</c:v>
                </c:pt>
                <c:pt idx="34">
                  <c:v>33.051052303920521</c:v>
                </c:pt>
                <c:pt idx="35">
                  <c:v>39.074024495391875</c:v>
                </c:pt>
                <c:pt idx="36">
                  <c:v>46.194577292940721</c:v>
                </c:pt>
                <c:pt idx="37">
                  <c:v>54.6127254315751</c:v>
                </c:pt>
                <c:pt idx="38">
                  <c:v>64.564932809124087</c:v>
                </c:pt>
                <c:pt idx="39">
                  <c:v>76.330754704224319</c:v>
                </c:pt>
                <c:pt idx="40">
                  <c:v>90.240690421551847</c:v>
                </c:pt>
                <c:pt idx="41">
                  <c:v>106.68546694334832</c:v>
                </c:pt>
                <c:pt idx="42">
                  <c:v>126.12701436293538</c:v>
                </c:pt>
                <c:pt idx="43">
                  <c:v>149.11144139768831</c:v>
                </c:pt>
                <c:pt idx="44">
                  <c:v>176.28437546072738</c:v>
                </c:pt>
                <c:pt idx="45">
                  <c:v>208.40909819050574</c:v>
                </c:pt>
                <c:pt idx="46">
                  <c:v>246.3879858612666</c:v>
                </c:pt>
                <c:pt idx="47">
                  <c:v>291.28785693069744</c:v>
                </c:pt>
                <c:pt idx="48">
                  <c:v>344.36993873172889</c:v>
                </c:pt>
                <c:pt idx="49">
                  <c:v>407.12529506614243</c:v>
                </c:pt>
                <c:pt idx="50">
                  <c:v>481.31670985316725</c:v>
                </c:pt>
              </c:numCache>
            </c:numRef>
          </c:xVal>
          <c:yVal>
            <c:numRef>
              <c:f>Kupfer!$J$63:$J$113</c:f>
              <c:numCache>
                <c:formatCode>General</c:formatCode>
                <c:ptCount val="51"/>
                <c:pt idx="0">
                  <c:v>1.592955360210991E-5</c:v>
                </c:pt>
                <c:pt idx="1">
                  <c:v>3.5901231392852498E-5</c:v>
                </c:pt>
                <c:pt idx="2">
                  <c:v>7.7739779576168805E-5</c:v>
                </c:pt>
                <c:pt idx="3">
                  <c:v>1.6173554846441379E-4</c:v>
                </c:pt>
                <c:pt idx="4">
                  <c:v>3.2329269164365129E-4</c:v>
                </c:pt>
                <c:pt idx="5">
                  <c:v>6.2088977702169309E-4</c:v>
                </c:pt>
                <c:pt idx="6">
                  <c:v>1.1456747777392814E-3</c:v>
                </c:pt>
                <c:pt idx="7">
                  <c:v>2.0311238964848604E-3</c:v>
                </c:pt>
                <c:pt idx="8">
                  <c:v>3.4597100255666156E-3</c:v>
                </c:pt>
                <c:pt idx="9">
                  <c:v>5.662017471304512E-3</c:v>
                </c:pt>
                <c:pt idx="10">
                  <c:v>8.9028884308458844E-3</c:v>
                </c:pt>
                <c:pt idx="11">
                  <c:v>1.3449894489319067E-2</c:v>
                </c:pt>
                <c:pt idx="12">
                  <c:v>1.9522482610960321E-2</c:v>
                </c:pt>
                <c:pt idx="13">
                  <c:v>2.7225723690875211E-2</c:v>
                </c:pt>
                <c:pt idx="14">
                  <c:v>3.6479765784179372E-2</c:v>
                </c:pt>
                <c:pt idx="15">
                  <c:v>4.6962679790416899E-2</c:v>
                </c:pt>
                <c:pt idx="16">
                  <c:v>5.8087397727977684E-2</c:v>
                </c:pt>
                <c:pt idx="17">
                  <c:v>6.9030209542210577E-2</c:v>
                </c:pt>
                <c:pt idx="18">
                  <c:v>7.8817868022507925E-2</c:v>
                </c:pt>
                <c:pt idx="19">
                  <c:v>8.6464611722526855E-2</c:v>
                </c:pt>
                <c:pt idx="20">
                  <c:v>9.1133978199801499E-2</c:v>
                </c:pt>
                <c:pt idx="21">
                  <c:v>9.2289115208538192E-2</c:v>
                </c:pt>
                <c:pt idx="22">
                  <c:v>8.9794318113915583E-2</c:v>
                </c:pt>
                <c:pt idx="23">
                  <c:v>8.3941253838520108E-2</c:v>
                </c:pt>
                <c:pt idx="24">
                  <c:v>7.5392868596463075E-2</c:v>
                </c:pt>
                <c:pt idx="25">
                  <c:v>6.50598869926034E-2</c:v>
                </c:pt>
                <c:pt idx="26">
                  <c:v>5.3941691630222936E-2</c:v>
                </c:pt>
                <c:pt idx="27">
                  <c:v>4.2969870026435389E-2</c:v>
                </c:pt>
                <c:pt idx="28">
                  <c:v>3.2887566470447951E-2</c:v>
                </c:pt>
                <c:pt idx="29">
                  <c:v>2.418397350675942E-2</c:v>
                </c:pt>
                <c:pt idx="30">
                  <c:v>1.7086448372260692E-2</c:v>
                </c:pt>
                <c:pt idx="31">
                  <c:v>1.1598562302012829E-2</c:v>
                </c:pt>
                <c:pt idx="32">
                  <c:v>7.5645786275343662E-3</c:v>
                </c:pt>
                <c:pt idx="33">
                  <c:v>4.7401659228206144E-3</c:v>
                </c:pt>
                <c:pt idx="34">
                  <c:v>2.8538462173059633E-3</c:v>
                </c:pt>
                <c:pt idx="35">
                  <c:v>1.6508051339494125E-3</c:v>
                </c:pt>
                <c:pt idx="36">
                  <c:v>9.1746451398929665E-4</c:v>
                </c:pt>
                <c:pt idx="37">
                  <c:v>4.8990397220611702E-4</c:v>
                </c:pt>
                <c:pt idx="38">
                  <c:v>2.5133956948061772E-4</c:v>
                </c:pt>
                <c:pt idx="39">
                  <c:v>1.238907818277946E-4</c:v>
                </c:pt>
                <c:pt idx="40">
                  <c:v>5.8673951986510631E-5</c:v>
                </c:pt>
                <c:pt idx="41">
                  <c:v>2.6698072578464673E-5</c:v>
                </c:pt>
                <c:pt idx="42">
                  <c:v>1.1671930645032491E-5</c:v>
                </c:pt>
                <c:pt idx="43">
                  <c:v>4.9026818106174942E-6</c:v>
                </c:pt>
                <c:pt idx="44">
                  <c:v>1.9785769183013886E-6</c:v>
                </c:pt>
                <c:pt idx="45">
                  <c:v>7.6718550624015108E-7</c:v>
                </c:pt>
                <c:pt idx="46">
                  <c:v>2.8580910590813687E-7</c:v>
                </c:pt>
                <c:pt idx="47">
                  <c:v>1.0230101764765234E-7</c:v>
                </c:pt>
                <c:pt idx="48">
                  <c:v>3.5181314903746478E-8</c:v>
                </c:pt>
                <c:pt idx="49">
                  <c:v>1.1624449663135599E-8</c:v>
                </c:pt>
                <c:pt idx="50">
                  <c:v>3.690293905350024E-9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43-47C4-B484-3C4A83411F58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Kupfer!$T$46:$T$97</c:f>
              <c:numCache>
                <c:formatCode>0.0</c:formatCode>
                <c:ptCount val="52"/>
                <c:pt idx="0">
                  <c:v>-4.6199999999999998E-2</c:v>
                </c:pt>
                <c:pt idx="1">
                  <c:v>4.6199999999999998E-2</c:v>
                </c:pt>
                <c:pt idx="2">
                  <c:v>4.5738000000000003</c:v>
                </c:pt>
                <c:pt idx="3">
                  <c:v>4.6661999999999999</c:v>
                </c:pt>
                <c:pt idx="4">
                  <c:v>9.1937999999999995</c:v>
                </c:pt>
                <c:pt idx="5">
                  <c:v>9.2862000000000009</c:v>
                </c:pt>
                <c:pt idx="6">
                  <c:v>13.813799999999999</c:v>
                </c:pt>
                <c:pt idx="7">
                  <c:v>13.9062</c:v>
                </c:pt>
                <c:pt idx="8">
                  <c:v>18.433800000000002</c:v>
                </c:pt>
                <c:pt idx="9">
                  <c:v>18.526199999999999</c:v>
                </c:pt>
                <c:pt idx="10">
                  <c:v>23.053800000000003</c:v>
                </c:pt>
                <c:pt idx="11">
                  <c:v>23.1462</c:v>
                </c:pt>
                <c:pt idx="12">
                  <c:v>27.6738</c:v>
                </c:pt>
                <c:pt idx="13">
                  <c:v>27.766199999999998</c:v>
                </c:pt>
                <c:pt idx="14">
                  <c:v>32.293800000000005</c:v>
                </c:pt>
                <c:pt idx="15">
                  <c:v>32.386200000000002</c:v>
                </c:pt>
                <c:pt idx="16">
                  <c:v>36.913800000000002</c:v>
                </c:pt>
                <c:pt idx="17">
                  <c:v>37.0062</c:v>
                </c:pt>
                <c:pt idx="18">
                  <c:v>41.533799999999999</c:v>
                </c:pt>
                <c:pt idx="19">
                  <c:v>41.626199999999997</c:v>
                </c:pt>
                <c:pt idx="20">
                  <c:v>46.153800000000004</c:v>
                </c:pt>
                <c:pt idx="21">
                  <c:v>46.246200000000002</c:v>
                </c:pt>
                <c:pt idx="22">
                  <c:v>50.773800000000001</c:v>
                </c:pt>
                <c:pt idx="23">
                  <c:v>50.866199999999999</c:v>
                </c:pt>
                <c:pt idx="24">
                  <c:v>55.393799999999999</c:v>
                </c:pt>
                <c:pt idx="25">
                  <c:v>55.486199999999997</c:v>
                </c:pt>
                <c:pt idx="26">
                  <c:v>60.013800000000003</c:v>
                </c:pt>
                <c:pt idx="27">
                  <c:v>60.106200000000001</c:v>
                </c:pt>
                <c:pt idx="28">
                  <c:v>64.633800000000008</c:v>
                </c:pt>
                <c:pt idx="29">
                  <c:v>64.726200000000006</c:v>
                </c:pt>
                <c:pt idx="30">
                  <c:v>69.253799999999998</c:v>
                </c:pt>
                <c:pt idx="31">
                  <c:v>69.346199999999996</c:v>
                </c:pt>
                <c:pt idx="32">
                  <c:v>73.873800000000003</c:v>
                </c:pt>
                <c:pt idx="33">
                  <c:v>73.966200000000001</c:v>
                </c:pt>
                <c:pt idx="34">
                  <c:v>78.493800000000007</c:v>
                </c:pt>
                <c:pt idx="35">
                  <c:v>78.586200000000005</c:v>
                </c:pt>
                <c:pt idx="36">
                  <c:v>83.113799999999998</c:v>
                </c:pt>
                <c:pt idx="37">
                  <c:v>83.206199999999995</c:v>
                </c:pt>
                <c:pt idx="38">
                  <c:v>87.733800000000002</c:v>
                </c:pt>
                <c:pt idx="39">
                  <c:v>87.8262</c:v>
                </c:pt>
                <c:pt idx="40">
                  <c:v>92.353800000000007</c:v>
                </c:pt>
                <c:pt idx="41">
                  <c:v>92.446200000000005</c:v>
                </c:pt>
                <c:pt idx="42">
                  <c:v>96.973799999999997</c:v>
                </c:pt>
                <c:pt idx="43">
                  <c:v>97.066199999999995</c:v>
                </c:pt>
                <c:pt idx="44">
                  <c:v>101.5938</c:v>
                </c:pt>
                <c:pt idx="45">
                  <c:v>101.6862</c:v>
                </c:pt>
                <c:pt idx="46">
                  <c:v>106.21380000000001</c:v>
                </c:pt>
                <c:pt idx="47">
                  <c:v>106.3062</c:v>
                </c:pt>
                <c:pt idx="48">
                  <c:v>110.8338</c:v>
                </c:pt>
                <c:pt idx="49">
                  <c:v>110.92619999999999</c:v>
                </c:pt>
                <c:pt idx="50">
                  <c:v>115.4538</c:v>
                </c:pt>
                <c:pt idx="51">
                  <c:v>115.5462</c:v>
                </c:pt>
              </c:numCache>
            </c:numRef>
          </c:xVal>
          <c:yVal>
            <c:numRef>
              <c:f>Kupfer!$U$46:$U$97</c:f>
              <c:numCache>
                <c:formatCode>0.0000</c:formatCode>
                <c:ptCount val="52"/>
                <c:pt idx="0">
                  <c:v>0</c:v>
                </c:pt>
                <c:pt idx="1">
                  <c:v>5.1689603928409898E-2</c:v>
                </c:pt>
                <c:pt idx="2">
                  <c:v>5.1689603928409898E-2</c:v>
                </c:pt>
                <c:pt idx="3">
                  <c:v>5.1689603928409898E-2</c:v>
                </c:pt>
                <c:pt idx="4">
                  <c:v>5.1689603928409898E-2</c:v>
                </c:pt>
                <c:pt idx="5">
                  <c:v>7.1073205401563616E-2</c:v>
                </c:pt>
                <c:pt idx="6">
                  <c:v>7.1073205401563616E-2</c:v>
                </c:pt>
                <c:pt idx="7">
                  <c:v>5.8150804419461133E-2</c:v>
                </c:pt>
                <c:pt idx="8">
                  <c:v>5.8150804419461133E-2</c:v>
                </c:pt>
                <c:pt idx="9">
                  <c:v>1.6153001227628094E-2</c:v>
                </c:pt>
                <c:pt idx="10">
                  <c:v>1.6153001227628094E-2</c:v>
                </c:pt>
                <c:pt idx="11">
                  <c:v>6.4612004910512373E-3</c:v>
                </c:pt>
                <c:pt idx="12">
                  <c:v>6.4612004910512373E-3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3.2306002455256186E-3</c:v>
                </c:pt>
                <c:pt idx="20">
                  <c:v>3.2306002455256186E-3</c:v>
                </c:pt>
                <c:pt idx="21">
                  <c:v>0</c:v>
                </c:pt>
                <c:pt idx="22">
                  <c:v>0</c:v>
                </c:pt>
                <c:pt idx="23">
                  <c:v>3.2306002455256186E-3</c:v>
                </c:pt>
                <c:pt idx="24">
                  <c:v>3.2306002455256186E-3</c:v>
                </c:pt>
                <c:pt idx="25">
                  <c:v>3.2306002455256186E-3</c:v>
                </c:pt>
                <c:pt idx="26">
                  <c:v>3.2306002455256186E-3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3.2306002455256186E-3</c:v>
                </c:pt>
                <c:pt idx="50">
                  <c:v>3.2306002455256186E-3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43-47C4-B484-3C4A83411F58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Kupfer!$U$3:$V$3</c:f>
              <c:numCache>
                <c:formatCode>0.000</c:formatCode>
                <c:ptCount val="2"/>
                <c:pt idx="0">
                  <c:v>41.240021847236882</c:v>
                </c:pt>
                <c:pt idx="1">
                  <c:v>41.240021847236882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43-47C4-B484-3C4A83411F58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Kupfer!$U$4:$V$4</c:f>
              <c:numCache>
                <c:formatCode>0.000</c:formatCode>
                <c:ptCount val="2"/>
                <c:pt idx="0">
                  <c:v>29.02601208006778</c:v>
                </c:pt>
                <c:pt idx="1">
                  <c:v>29.02601208006778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643-47C4-B484-3C4A83411F58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Kupfer!$U$5:$V$5</c:f>
              <c:numCache>
                <c:formatCode>0.000</c:formatCode>
                <c:ptCount val="2"/>
                <c:pt idx="0">
                  <c:v>46.883423611217246</c:v>
                </c:pt>
                <c:pt idx="1">
                  <c:v>46.883423611217246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43-47C4-B484-3C4A83411F58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Kupfer!$U$6:$V$6</c:f>
              <c:numCache>
                <c:formatCode>0.000</c:formatCode>
                <c:ptCount val="2"/>
                <c:pt idx="0">
                  <c:v>40.872070629783295</c:v>
                </c:pt>
                <c:pt idx="1">
                  <c:v>40.872070629783295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643-47C4-B484-3C4A83411F58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Kupfer!$U$7:$V$7</c:f>
              <c:numCache>
                <c:formatCode>0.000</c:formatCode>
                <c:ptCount val="2"/>
                <c:pt idx="0">
                  <c:v>-19.138529309923449</c:v>
                </c:pt>
                <c:pt idx="1">
                  <c:v>-19.138529309923449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643-47C4-B484-3C4A83411F58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Kupfer!$U$8:$V$8</c:f>
              <c:numCache>
                <c:formatCode>0.000</c:formatCode>
                <c:ptCount val="2"/>
                <c:pt idx="0">
                  <c:v>0.35087884751487031</c:v>
                </c:pt>
                <c:pt idx="1">
                  <c:v>0.35087884751487031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643-47C4-B484-3C4A83411F58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Kupfer!$U$11:$V$11</c:f>
              <c:numCache>
                <c:formatCode>0.000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xVal>
          <c:yVal>
            <c:numRef>
              <c:f>Kupfer!$U$2:$V$2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643-47C4-B484-3C4A8341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88800"/>
        <c:axId val="153790336"/>
      </c:scatterChart>
      <c:valAx>
        <c:axId val="153788800"/>
        <c:scaling>
          <c:orientation val="minMax"/>
          <c:max val="3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3790336"/>
        <c:crosses val="autoZero"/>
        <c:crossBetween val="midCat"/>
        <c:majorUnit val="5"/>
        <c:minorUnit val="1"/>
      </c:valAx>
      <c:valAx>
        <c:axId val="153790336"/>
        <c:scaling>
          <c:orientation val="minMax"/>
          <c:max val="0.1500000000000000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3788800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Kupfer!$M$3:$M$252</c:f>
              <c:numCache>
                <c:formatCode>d/m/yyyy;@</c:formatCode>
                <c:ptCount val="250"/>
                <c:pt idx="0">
                  <c:v>35878</c:v>
                </c:pt>
                <c:pt idx="1">
                  <c:v>35977</c:v>
                </c:pt>
                <c:pt idx="2">
                  <c:v>36067</c:v>
                </c:pt>
                <c:pt idx="3">
                  <c:v>36130</c:v>
                </c:pt>
                <c:pt idx="4">
                  <c:v>36241</c:v>
                </c:pt>
                <c:pt idx="5">
                  <c:v>36305</c:v>
                </c:pt>
                <c:pt idx="6">
                  <c:v>36474</c:v>
                </c:pt>
                <c:pt idx="7">
                  <c:v>36585</c:v>
                </c:pt>
                <c:pt idx="8">
                  <c:v>36692</c:v>
                </c:pt>
                <c:pt idx="9">
                  <c:v>36781</c:v>
                </c:pt>
                <c:pt idx="10">
                  <c:v>36857</c:v>
                </c:pt>
                <c:pt idx="11">
                  <c:v>36979</c:v>
                </c:pt>
                <c:pt idx="12">
                  <c:v>37053</c:v>
                </c:pt>
                <c:pt idx="13">
                  <c:v>37145</c:v>
                </c:pt>
                <c:pt idx="14">
                  <c:v>37224</c:v>
                </c:pt>
                <c:pt idx="15">
                  <c:v>37306</c:v>
                </c:pt>
                <c:pt idx="16">
                  <c:v>37418</c:v>
                </c:pt>
                <c:pt idx="17">
                  <c:v>37494</c:v>
                </c:pt>
                <c:pt idx="18">
                  <c:v>37557</c:v>
                </c:pt>
                <c:pt idx="19">
                  <c:v>37663</c:v>
                </c:pt>
                <c:pt idx="20">
                  <c:v>37774</c:v>
                </c:pt>
                <c:pt idx="21">
                  <c:v>37868</c:v>
                </c:pt>
                <c:pt idx="22">
                  <c:v>37952</c:v>
                </c:pt>
                <c:pt idx="23">
                  <c:v>38034</c:v>
                </c:pt>
                <c:pt idx="24">
                  <c:v>38154</c:v>
                </c:pt>
                <c:pt idx="25">
                  <c:v>38222</c:v>
                </c:pt>
                <c:pt idx="26">
                  <c:v>38302</c:v>
                </c:pt>
                <c:pt idx="27">
                  <c:v>38378</c:v>
                </c:pt>
                <c:pt idx="28">
                  <c:v>38489</c:v>
                </c:pt>
                <c:pt idx="29">
                  <c:v>38575</c:v>
                </c:pt>
                <c:pt idx="30">
                  <c:v>38663</c:v>
                </c:pt>
                <c:pt idx="31">
                  <c:v>38777</c:v>
                </c:pt>
                <c:pt idx="32">
                  <c:v>38876</c:v>
                </c:pt>
                <c:pt idx="33">
                  <c:v>38932</c:v>
                </c:pt>
                <c:pt idx="34">
                  <c:v>39071</c:v>
                </c:pt>
                <c:pt idx="35">
                  <c:v>39126</c:v>
                </c:pt>
                <c:pt idx="36">
                  <c:v>39252</c:v>
                </c:pt>
                <c:pt idx="37">
                  <c:v>39329</c:v>
                </c:pt>
                <c:pt idx="38">
                  <c:v>39419</c:v>
                </c:pt>
                <c:pt idx="39">
                  <c:v>39511</c:v>
                </c:pt>
                <c:pt idx="40">
                  <c:v>39609</c:v>
                </c:pt>
                <c:pt idx="41">
                  <c:v>39672</c:v>
                </c:pt>
                <c:pt idx="42">
                  <c:v>39771</c:v>
                </c:pt>
                <c:pt idx="43">
                  <c:v>39888</c:v>
                </c:pt>
                <c:pt idx="44">
                  <c:v>39973</c:v>
                </c:pt>
                <c:pt idx="45">
                  <c:v>40071</c:v>
                </c:pt>
                <c:pt idx="46">
                  <c:v>40150</c:v>
                </c:pt>
                <c:pt idx="47">
                  <c:v>40246</c:v>
                </c:pt>
                <c:pt idx="48">
                  <c:v>40339</c:v>
                </c:pt>
                <c:pt idx="49">
                  <c:v>40428</c:v>
                </c:pt>
                <c:pt idx="50">
                  <c:v>40512</c:v>
                </c:pt>
                <c:pt idx="51">
                  <c:v>40589</c:v>
                </c:pt>
                <c:pt idx="52">
                  <c:v>40724</c:v>
                </c:pt>
                <c:pt idx="53">
                  <c:v>40801</c:v>
                </c:pt>
                <c:pt idx="54">
                  <c:v>40879</c:v>
                </c:pt>
                <c:pt idx="55">
                  <c:v>40961</c:v>
                </c:pt>
                <c:pt idx="56">
                  <c:v>41065</c:v>
                </c:pt>
                <c:pt idx="57">
                  <c:v>41151</c:v>
                </c:pt>
                <c:pt idx="58">
                  <c:v>41249</c:v>
                </c:pt>
                <c:pt idx="59">
                  <c:v>41697</c:v>
                </c:pt>
                <c:pt idx="60">
                  <c:v>41802</c:v>
                </c:pt>
                <c:pt idx="61">
                  <c:v>41911</c:v>
                </c:pt>
                <c:pt idx="62">
                  <c:v>41970</c:v>
                </c:pt>
                <c:pt idx="63">
                  <c:v>42075</c:v>
                </c:pt>
                <c:pt idx="64">
                  <c:v>42171</c:v>
                </c:pt>
                <c:pt idx="65">
                  <c:v>42261</c:v>
                </c:pt>
                <c:pt idx="66">
                  <c:v>42341</c:v>
                </c:pt>
              </c:numCache>
            </c:numRef>
          </c:xVal>
          <c:yVal>
            <c:numRef>
              <c:f>Kupfer!$N$3:$N$252</c:f>
              <c:numCache>
                <c:formatCode>General</c:formatCode>
                <c:ptCount val="250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37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47</c:v>
                </c:pt>
                <c:pt idx="13">
                  <c:v>14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23</c:v>
                </c:pt>
                <c:pt idx="21">
                  <c:v>10</c:v>
                </c:pt>
                <c:pt idx="22">
                  <c:v>11</c:v>
                </c:pt>
                <c:pt idx="23">
                  <c:v>13</c:v>
                </c:pt>
                <c:pt idx="24">
                  <c:v>17</c:v>
                </c:pt>
                <c:pt idx="25">
                  <c:v>14</c:v>
                </c:pt>
                <c:pt idx="26">
                  <c:v>10</c:v>
                </c:pt>
                <c:pt idx="27">
                  <c:v>3</c:v>
                </c:pt>
                <c:pt idx="28">
                  <c:v>9</c:v>
                </c:pt>
                <c:pt idx="29">
                  <c:v>5</c:v>
                </c:pt>
                <c:pt idx="30">
                  <c:v>4</c:v>
                </c:pt>
                <c:pt idx="31">
                  <c:v>7</c:v>
                </c:pt>
                <c:pt idx="32">
                  <c:v>1</c:v>
                </c:pt>
                <c:pt idx="33">
                  <c:v>5</c:v>
                </c:pt>
                <c:pt idx="34">
                  <c:v>8</c:v>
                </c:pt>
                <c:pt idx="35">
                  <c:v>2</c:v>
                </c:pt>
                <c:pt idx="36">
                  <c:v>5</c:v>
                </c:pt>
                <c:pt idx="37">
                  <c:v>17</c:v>
                </c:pt>
                <c:pt idx="38">
                  <c:v>7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6</c:v>
                </c:pt>
                <c:pt idx="44">
                  <c:v>2.9</c:v>
                </c:pt>
                <c:pt idx="45">
                  <c:v>4.8</c:v>
                </c:pt>
                <c:pt idx="46">
                  <c:v>4.8</c:v>
                </c:pt>
                <c:pt idx="47">
                  <c:v>2.9</c:v>
                </c:pt>
                <c:pt idx="48">
                  <c:v>5.0999999999999996</c:v>
                </c:pt>
                <c:pt idx="49">
                  <c:v>6.2</c:v>
                </c:pt>
                <c:pt idx="50">
                  <c:v>3.1</c:v>
                </c:pt>
                <c:pt idx="51">
                  <c:v>2.9</c:v>
                </c:pt>
                <c:pt idx="52">
                  <c:v>55</c:v>
                </c:pt>
                <c:pt idx="53">
                  <c:v>3.1</c:v>
                </c:pt>
                <c:pt idx="54">
                  <c:v>2.1</c:v>
                </c:pt>
                <c:pt idx="55">
                  <c:v>3.8</c:v>
                </c:pt>
                <c:pt idx="56">
                  <c:v>5</c:v>
                </c:pt>
                <c:pt idx="57">
                  <c:v>12</c:v>
                </c:pt>
                <c:pt idx="58">
                  <c:v>19</c:v>
                </c:pt>
                <c:pt idx="59">
                  <c:v>8.4</c:v>
                </c:pt>
                <c:pt idx="60">
                  <c:v>14</c:v>
                </c:pt>
                <c:pt idx="61">
                  <c:v>5.7</c:v>
                </c:pt>
                <c:pt idx="62">
                  <c:v>8.9</c:v>
                </c:pt>
                <c:pt idx="63">
                  <c:v>110</c:v>
                </c:pt>
                <c:pt idx="64">
                  <c:v>13</c:v>
                </c:pt>
                <c:pt idx="65">
                  <c:v>10</c:v>
                </c:pt>
                <c:pt idx="66">
                  <c:v>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B3-4A4D-85FB-89F65771D25B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Kupfer!$E$57:$E$58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Kupfer!$F$57:$F$58</c:f>
              <c:numCache>
                <c:formatCode>0.000</c:formatCode>
                <c:ptCount val="2"/>
                <c:pt idx="0">
                  <c:v>41.240021847236882</c:v>
                </c:pt>
                <c:pt idx="1">
                  <c:v>41.240021847236882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B3-4A4D-85FB-89F65771D25B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Kupfer!$E$57:$E$58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Kupfer!$J$57:$J$58</c:f>
              <c:numCache>
                <c:formatCode>0.000</c:formatCode>
                <c:ptCount val="2"/>
                <c:pt idx="0">
                  <c:v>29.02601208006778</c:v>
                </c:pt>
                <c:pt idx="1">
                  <c:v>29.02601208006778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B3-4A4D-85FB-89F65771D25B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Kupfer!$G$122:$G$123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42341</c:v>
                </c:pt>
              </c:numCache>
            </c:numRef>
          </c:xVal>
          <c:yVal>
            <c:numRef>
              <c:f>Kupfer!$I$122:$I$123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B3-4A4D-85FB-89F65771D25B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Kupfer!$G$122:$G$123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42341</c:v>
                </c:pt>
              </c:numCache>
            </c:numRef>
          </c:xVal>
          <c:yVal>
            <c:numRef>
              <c:f>Kupfer!$J$122:$J$123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B3-4A4D-85FB-89F65771D25B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Kupfer!$E$57:$E$58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Kupfer!$G$57:$G$58</c:f>
              <c:numCache>
                <c:formatCode>0.000</c:formatCode>
                <c:ptCount val="2"/>
                <c:pt idx="0">
                  <c:v>-19.138529309923449</c:v>
                </c:pt>
                <c:pt idx="1">
                  <c:v>-19.138529309923449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B3-4A4D-85FB-89F65771D25B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Kupfer!$E$57:$E$58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Kupfer!$H$57:$H$58</c:f>
              <c:numCache>
                <c:formatCode>0.000</c:formatCode>
                <c:ptCount val="2"/>
                <c:pt idx="0">
                  <c:v>46.883423611217246</c:v>
                </c:pt>
                <c:pt idx="1">
                  <c:v>46.883423611217246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B3-4A4D-85FB-89F65771D25B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Kupfer!$E$57:$E$58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Kupfer!$K$57:$K$58</c:f>
              <c:numCache>
                <c:formatCode>0.000</c:formatCode>
                <c:ptCount val="2"/>
                <c:pt idx="0">
                  <c:v>40.872070629783295</c:v>
                </c:pt>
                <c:pt idx="1">
                  <c:v>40.872070629783295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B3-4A4D-85FB-89F65771D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409024"/>
        <c:axId val="155259264"/>
      </c:scatterChart>
      <c:valAx>
        <c:axId val="155409024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5259264"/>
        <c:crossesAt val="0"/>
        <c:crossBetween val="midCat"/>
        <c:majorUnit val="1461"/>
        <c:minorUnit val="365.25"/>
      </c:valAx>
      <c:valAx>
        <c:axId val="155259264"/>
        <c:scaling>
          <c:orientation val="minMax"/>
          <c:max val="6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5409024"/>
        <c:crossesAt val="0"/>
        <c:crossBetween val="midCat"/>
        <c:majorUnit val="1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Molybdän!$F$63:$F$113</c:f>
              <c:numCache>
                <c:formatCode>General</c:formatCode>
                <c:ptCount val="51"/>
                <c:pt idx="0">
                  <c:v>-15.110901273737642</c:v>
                </c:pt>
                <c:pt idx="1">
                  <c:v>-14.257202064893399</c:v>
                </c:pt>
                <c:pt idx="2">
                  <c:v>-13.403502856049158</c:v>
                </c:pt>
                <c:pt idx="3">
                  <c:v>-12.549803647204918</c:v>
                </c:pt>
                <c:pt idx="4">
                  <c:v>-11.696104438360674</c:v>
                </c:pt>
                <c:pt idx="5">
                  <c:v>-10.84240522951643</c:v>
                </c:pt>
                <c:pt idx="6">
                  <c:v>-9.9887060206721863</c:v>
                </c:pt>
                <c:pt idx="7">
                  <c:v>-9.1350068118279459</c:v>
                </c:pt>
                <c:pt idx="8">
                  <c:v>-8.2813076029837021</c:v>
                </c:pt>
                <c:pt idx="9">
                  <c:v>-7.4276083941394608</c:v>
                </c:pt>
                <c:pt idx="10">
                  <c:v>-6.5739091852952187</c:v>
                </c:pt>
                <c:pt idx="11">
                  <c:v>-5.7202099764509748</c:v>
                </c:pt>
                <c:pt idx="12">
                  <c:v>-4.8665107676067327</c:v>
                </c:pt>
                <c:pt idx="13">
                  <c:v>-4.0128115587624889</c:v>
                </c:pt>
                <c:pt idx="14">
                  <c:v>-3.1591123499182485</c:v>
                </c:pt>
                <c:pt idx="15">
                  <c:v>-2.3054131410740046</c:v>
                </c:pt>
                <c:pt idx="16">
                  <c:v>-1.4517139322297625</c:v>
                </c:pt>
                <c:pt idx="17">
                  <c:v>-0.59801472338551953</c:v>
                </c:pt>
                <c:pt idx="18">
                  <c:v>0.25568448545872347</c:v>
                </c:pt>
                <c:pt idx="19">
                  <c:v>1.1093836943029665</c:v>
                </c:pt>
                <c:pt idx="20">
                  <c:v>1.9630829031472086</c:v>
                </c:pt>
                <c:pt idx="21">
                  <c:v>2.8167821119914511</c:v>
                </c:pt>
                <c:pt idx="22">
                  <c:v>3.6704813208356941</c:v>
                </c:pt>
                <c:pt idx="23">
                  <c:v>4.5241805296799367</c:v>
                </c:pt>
                <c:pt idx="24">
                  <c:v>5.3778797385241788</c:v>
                </c:pt>
                <c:pt idx="25">
                  <c:v>6.2315789473684218</c:v>
                </c:pt>
                <c:pt idx="26">
                  <c:v>7.0852781562126648</c:v>
                </c:pt>
                <c:pt idx="27">
                  <c:v>7.9389773650569069</c:v>
                </c:pt>
                <c:pt idx="28">
                  <c:v>8.792676573901149</c:v>
                </c:pt>
                <c:pt idx="29">
                  <c:v>9.6463757827454355</c:v>
                </c:pt>
                <c:pt idx="30">
                  <c:v>10.500074991589678</c:v>
                </c:pt>
                <c:pt idx="31">
                  <c:v>11.35377420043392</c:v>
                </c:pt>
                <c:pt idx="32">
                  <c:v>12.207473409278162</c:v>
                </c:pt>
                <c:pt idx="33">
                  <c:v>13.061172618122406</c:v>
                </c:pt>
                <c:pt idx="34">
                  <c:v>13.91487182696665</c:v>
                </c:pt>
                <c:pt idx="35">
                  <c:v>14.768571035810893</c:v>
                </c:pt>
                <c:pt idx="36">
                  <c:v>15.622270244655134</c:v>
                </c:pt>
                <c:pt idx="37">
                  <c:v>16.475969453499378</c:v>
                </c:pt>
                <c:pt idx="38">
                  <c:v>17.329668662343618</c:v>
                </c:pt>
                <c:pt idx="39">
                  <c:v>18.183367871187862</c:v>
                </c:pt>
                <c:pt idx="40">
                  <c:v>19.037067080032106</c:v>
                </c:pt>
                <c:pt idx="41">
                  <c:v>19.890766288876346</c:v>
                </c:pt>
                <c:pt idx="42">
                  <c:v>20.74446549772059</c:v>
                </c:pt>
                <c:pt idx="43">
                  <c:v>21.59816470656483</c:v>
                </c:pt>
                <c:pt idx="44">
                  <c:v>22.451863915409074</c:v>
                </c:pt>
                <c:pt idx="45">
                  <c:v>23.305563124253318</c:v>
                </c:pt>
                <c:pt idx="46">
                  <c:v>24.159262333097562</c:v>
                </c:pt>
                <c:pt idx="47">
                  <c:v>25.012961541941802</c:v>
                </c:pt>
                <c:pt idx="48">
                  <c:v>25.866660750786046</c:v>
                </c:pt>
                <c:pt idx="49">
                  <c:v>26.720359959630287</c:v>
                </c:pt>
                <c:pt idx="50">
                  <c:v>27.574059168474488</c:v>
                </c:pt>
              </c:numCache>
            </c:numRef>
          </c:xVal>
          <c:yVal>
            <c:numRef>
              <c:f>Molybdän!$G$63:$G$113</c:f>
              <c:numCache>
                <c:formatCode>General</c:formatCode>
                <c:ptCount val="51"/>
                <c:pt idx="0">
                  <c:v>3.4830054879564721E-7</c:v>
                </c:pt>
                <c:pt idx="1">
                  <c:v>9.2803157130600422E-7</c:v>
                </c:pt>
                <c:pt idx="2">
                  <c:v>2.3757435781662898E-6</c:v>
                </c:pt>
                <c:pt idx="3">
                  <c:v>5.8433862961689323E-6</c:v>
                </c:pt>
                <c:pt idx="4">
                  <c:v>1.3808860813245524E-5</c:v>
                </c:pt>
                <c:pt idx="5">
                  <c:v>3.1353016232981582E-5</c:v>
                </c:pt>
                <c:pt idx="6">
                  <c:v>6.8395735351964215E-5</c:v>
                </c:pt>
                <c:pt idx="7">
                  <c:v>1.4335305076413943E-4</c:v>
                </c:pt>
                <c:pt idx="8">
                  <c:v>2.8867759410043875E-4</c:v>
                </c:pt>
                <c:pt idx="9">
                  <c:v>5.5853119617914912E-4</c:v>
                </c:pt>
                <c:pt idx="10">
                  <c:v>1.0382693028234016E-3</c:v>
                </c:pt>
                <c:pt idx="11">
                  <c:v>1.8543888763106822E-3</c:v>
                </c:pt>
                <c:pt idx="12">
                  <c:v>3.1821440369083969E-3</c:v>
                </c:pt>
                <c:pt idx="13">
                  <c:v>5.246468560082449E-3</c:v>
                </c:pt>
                <c:pt idx="14">
                  <c:v>8.3107943591180632E-3</c:v>
                </c:pt>
                <c:pt idx="15">
                  <c:v>1.26487095112299E-2</c:v>
                </c:pt>
                <c:pt idx="16">
                  <c:v>1.8496012994501581E-2</c:v>
                </c:pt>
                <c:pt idx="17">
                  <c:v>2.5985928891657916E-2</c:v>
                </c:pt>
                <c:pt idx="18">
                  <c:v>3.5077334987448174E-2</c:v>
                </c:pt>
                <c:pt idx="19">
                  <c:v>4.5492851105275463E-2</c:v>
                </c:pt>
                <c:pt idx="20">
                  <c:v>5.6687583170360156E-2</c:v>
                </c:pt>
                <c:pt idx="21">
                  <c:v>6.7867358844966877E-2</c:v>
                </c:pt>
                <c:pt idx="22">
                  <c:v>7.8066044677006716E-2</c:v>
                </c:pt>
                <c:pt idx="23">
                  <c:v>8.6276322266222033E-2</c:v>
                </c:pt>
                <c:pt idx="24">
                  <c:v>9.1611352083799724E-2</c:v>
                </c:pt>
                <c:pt idx="25">
                  <c:v>9.3462024157555404E-2</c:v>
                </c:pt>
                <c:pt idx="26">
                  <c:v>9.1611352083799724E-2</c:v>
                </c:pt>
                <c:pt idx="27">
                  <c:v>8.6276322266222033E-2</c:v>
                </c:pt>
                <c:pt idx="28">
                  <c:v>7.806604467700673E-2</c:v>
                </c:pt>
                <c:pt idx="29">
                  <c:v>6.786735884496635E-2</c:v>
                </c:pt>
                <c:pt idx="30">
                  <c:v>5.6687583170359594E-2</c:v>
                </c:pt>
                <c:pt idx="31">
                  <c:v>4.5492851105274922E-2</c:v>
                </c:pt>
                <c:pt idx="32">
                  <c:v>3.5077334987447695E-2</c:v>
                </c:pt>
                <c:pt idx="33">
                  <c:v>2.5985928891657503E-2</c:v>
                </c:pt>
                <c:pt idx="34">
                  <c:v>1.8496012994501241E-2</c:v>
                </c:pt>
                <c:pt idx="35">
                  <c:v>1.264870951122964E-2</c:v>
                </c:pt>
                <c:pt idx="36">
                  <c:v>8.3107943591178846E-3</c:v>
                </c:pt>
                <c:pt idx="37">
                  <c:v>5.2464685600823215E-3</c:v>
                </c:pt>
                <c:pt idx="38">
                  <c:v>3.1821440369083197E-3</c:v>
                </c:pt>
                <c:pt idx="39">
                  <c:v>1.8543888763106297E-3</c:v>
                </c:pt>
                <c:pt idx="40">
                  <c:v>1.0382693028233706E-3</c:v>
                </c:pt>
                <c:pt idx="41">
                  <c:v>5.5853119617913275E-4</c:v>
                </c:pt>
                <c:pt idx="42">
                  <c:v>2.8867759410042878E-4</c:v>
                </c:pt>
                <c:pt idx="43">
                  <c:v>1.4335305076413458E-4</c:v>
                </c:pt>
                <c:pt idx="44">
                  <c:v>6.8395735351961735E-5</c:v>
                </c:pt>
                <c:pt idx="45">
                  <c:v>3.1353016232980356E-5</c:v>
                </c:pt>
                <c:pt idx="46">
                  <c:v>1.380886081324496E-5</c:v>
                </c:pt>
                <c:pt idx="47">
                  <c:v>5.8433862961686833E-6</c:v>
                </c:pt>
                <c:pt idx="48">
                  <c:v>2.3757435781661716E-6</c:v>
                </c:pt>
                <c:pt idx="49">
                  <c:v>9.2803157130596134E-7</c:v>
                </c:pt>
                <c:pt idx="50">
                  <c:v>3.4830054879564721E-7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27-4907-8A2D-CBA21532439A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Molybdän!$I$63:$I$113</c:f>
              <c:numCache>
                <c:formatCode>General</c:formatCode>
                <c:ptCount val="51"/>
                <c:pt idx="0">
                  <c:v>0.71349199697091015</c:v>
                </c:pt>
                <c:pt idx="1">
                  <c:v>0.77467585658883664</c:v>
                </c:pt>
                <c:pt idx="2">
                  <c:v>0.84110639688943245</c:v>
                </c:pt>
                <c:pt idx="3">
                  <c:v>0.91323353486645598</c:v>
                </c:pt>
                <c:pt idx="4">
                  <c:v>0.99154576910715819</c:v>
                </c:pt>
                <c:pt idx="5">
                  <c:v>1.0765734882677909</c:v>
                </c:pt>
                <c:pt idx="6">
                  <c:v>1.1688925632598033</c:v>
                </c:pt>
                <c:pt idx="7">
                  <c:v>1.2691282474756727</c:v>
                </c:pt>
                <c:pt idx="8">
                  <c:v>1.3779594114696014</c:v>
                </c:pt>
                <c:pt idx="9">
                  <c:v>1.4961231407734836</c:v>
                </c:pt>
                <c:pt idx="10">
                  <c:v>1.62441972798797</c:v>
                </c:pt>
                <c:pt idx="11">
                  <c:v>1.7637180929587808</c:v>
                </c:pt>
                <c:pt idx="12">
                  <c:v>1.9149616677477312</c:v>
                </c:pt>
                <c:pt idx="13">
                  <c:v>2.0791747862558632</c:v>
                </c:pt>
                <c:pt idx="14">
                  <c:v>2.2574696217739665</c:v>
                </c:pt>
                <c:pt idx="15">
                  <c:v>2.451053719446731</c:v>
                </c:pt>
                <c:pt idx="16">
                  <c:v>2.6612381746659812</c:v>
                </c:pt>
                <c:pt idx="17">
                  <c:v>2.8894465127831492</c:v>
                </c:pt>
                <c:pt idx="18">
                  <c:v>3.1372243302809952</c:v>
                </c:pt>
                <c:pt idx="19">
                  <c:v>3.4062497627017634</c:v>
                </c:pt>
                <c:pt idx="20">
                  <c:v>3.6983448502283549</c:v>
                </c:pt>
                <c:pt idx="21">
                  <c:v>4.0154878778946896</c:v>
                </c:pt>
                <c:pt idx="22">
                  <c:v>4.3598267740023244</c:v>
                </c:pt>
                <c:pt idx="23">
                  <c:v>4.7336936574873709</c:v>
                </c:pt>
                <c:pt idx="24">
                  <c:v>5.1396206327632896</c:v>
                </c:pt>
                <c:pt idx="25">
                  <c:v>5.5803569390139813</c:v>
                </c:pt>
                <c:pt idx="26">
                  <c:v>6.058887570084921</c:v>
                </c:pt>
                <c:pt idx="27">
                  <c:v>6.5784534910800945</c:v>
                </c:pt>
                <c:pt idx="28">
                  <c:v>7.142573588586548</c:v>
                </c:pt>
                <c:pt idx="29">
                  <c:v>7.7550685031898157</c:v>
                </c:pt>
                <c:pt idx="30">
                  <c:v>8.4200865056915539</c:v>
                </c:pt>
                <c:pt idx="31">
                  <c:v>9.1421315922828104</c:v>
                </c:pt>
                <c:pt idx="32">
                  <c:v>9.9260939889537454</c:v>
                </c:pt>
                <c:pt idx="33">
                  <c:v>10.777283271738723</c:v>
                </c:pt>
                <c:pt idx="34">
                  <c:v>11.701464327111621</c:v>
                </c:pt>
                <c:pt idx="35">
                  <c:v>12.704896396081788</c:v>
                </c:pt>
                <c:pt idx="36">
                  <c:v>13.794375466426372</c:v>
                </c:pt>
                <c:pt idx="37">
                  <c:v>14.977280300170724</c:v>
                </c:pt>
                <c:pt idx="38">
                  <c:v>16.261622408049117</c:v>
                </c:pt>
                <c:pt idx="39">
                  <c:v>17.65610030941005</c:v>
                </c:pt>
                <c:pt idx="40">
                  <c:v>19.170158445054444</c:v>
                </c:pt>
                <c:pt idx="41">
                  <c:v>20.814051142008466</c:v>
                </c:pt>
                <c:pt idx="42">
                  <c:v>22.598912063447667</c:v>
                </c:pt>
                <c:pt idx="43">
                  <c:v>24.536829614139162</c:v>
                </c:pt>
                <c:pt idx="44">
                  <c:v>26.640928812103517</c:v>
                </c:pt>
                <c:pt idx="45">
                  <c:v>28.92546018099198</c:v>
                </c:pt>
                <c:pt idx="46">
                  <c:v>31.40589626522446</c:v>
                </c:pt>
                <c:pt idx="47">
                  <c:v>34.099036421560392</c:v>
                </c:pt>
                <c:pt idx="48">
                  <c:v>37.023120596828832</c:v>
                </c:pt>
                <c:pt idx="49">
                  <c:v>40.197952862405444</c:v>
                </c:pt>
                <c:pt idx="50">
                  <c:v>43.645035542103102</c:v>
                </c:pt>
              </c:numCache>
            </c:numRef>
          </c:xVal>
          <c:yVal>
            <c:numRef>
              <c:f>Molybdän!$J$63:$J$113</c:f>
              <c:numCache>
                <c:formatCode>General</c:formatCode>
                <c:ptCount val="51"/>
                <c:pt idx="0">
                  <c:v>5.0653575470111386E-6</c:v>
                </c:pt>
                <c:pt idx="1">
                  <c:v>1.2430476691831271E-5</c:v>
                </c:pt>
                <c:pt idx="2">
                  <c:v>2.9308506053057292E-5</c:v>
                </c:pt>
                <c:pt idx="3">
                  <c:v>6.63938419752332E-5</c:v>
                </c:pt>
                <c:pt idx="4">
                  <c:v>1.4450741755853136E-4</c:v>
                </c:pt>
                <c:pt idx="5">
                  <c:v>3.0219042553595308E-4</c:v>
                </c:pt>
                <c:pt idx="6">
                  <c:v>6.0715486770535889E-4</c:v>
                </c:pt>
                <c:pt idx="7">
                  <c:v>1.1720509275638359E-3</c:v>
                </c:pt>
                <c:pt idx="8">
                  <c:v>2.1738106159776989E-3</c:v>
                </c:pt>
                <c:pt idx="9">
                  <c:v>3.8736925511411559E-3</c:v>
                </c:pt>
                <c:pt idx="10">
                  <c:v>6.632187753623558E-3</c:v>
                </c:pt>
                <c:pt idx="11">
                  <c:v>1.0909797684865188E-2</c:v>
                </c:pt>
                <c:pt idx="12">
                  <c:v>1.724268134577904E-2</c:v>
                </c:pt>
                <c:pt idx="13">
                  <c:v>2.6183103852641304E-2</c:v>
                </c:pt>
                <c:pt idx="14">
                  <c:v>3.8200203376479981E-2</c:v>
                </c:pt>
                <c:pt idx="15">
                  <c:v>5.354740667225228E-2</c:v>
                </c:pt>
                <c:pt idx="16">
                  <c:v>7.2117295349161462E-2</c:v>
                </c:pt>
                <c:pt idx="17">
                  <c:v>9.3318691323313815E-2</c:v>
                </c:pt>
                <c:pt idx="18">
                  <c:v>0.11601818562995313</c:v>
                </c:pt>
                <c:pt idx="19">
                  <c:v>0.13858356200449037</c:v>
                </c:pt>
                <c:pt idx="20">
                  <c:v>0.15904703998713504</c:v>
                </c:pt>
                <c:pt idx="21">
                  <c:v>0.17537499947279309</c:v>
                </c:pt>
                <c:pt idx="22">
                  <c:v>0.1857966996661283</c:v>
                </c:pt>
                <c:pt idx="23">
                  <c:v>0.1891195947444804</c:v>
                </c:pt>
                <c:pt idx="24">
                  <c:v>0.1849538102059646</c:v>
                </c:pt>
                <c:pt idx="25">
                  <c:v>0.17378738857125112</c:v>
                </c:pt>
                <c:pt idx="26">
                  <c:v>0.15689223608244601</c:v>
                </c:pt>
                <c:pt idx="27">
                  <c:v>0.13608581824928934</c:v>
                </c:pt>
                <c:pt idx="28">
                  <c:v>0.11341030171814515</c:v>
                </c:pt>
                <c:pt idx="29">
                  <c:v>9.0807216490624759E-2</c:v>
                </c:pt>
                <c:pt idx="30">
                  <c:v>6.985804728762314E-2</c:v>
                </c:pt>
                <c:pt idx="31">
                  <c:v>5.1634590951483227E-2</c:v>
                </c:pt>
                <c:pt idx="32">
                  <c:v>3.6668509800369641E-2</c:v>
                </c:pt>
                <c:pt idx="33">
                  <c:v>2.5019233551066396E-2</c:v>
                </c:pt>
                <c:pt idx="34">
                  <c:v>1.6401477120446852E-2</c:v>
                </c:pt>
                <c:pt idx="35">
                  <c:v>1.0330471512638606E-2</c:v>
                </c:pt>
                <c:pt idx="36">
                  <c:v>6.2515188801316205E-3</c:v>
                </c:pt>
                <c:pt idx="37">
                  <c:v>3.6347887109857173E-3</c:v>
                </c:pt>
                <c:pt idx="38">
                  <c:v>2.0304907467296311E-3</c:v>
                </c:pt>
                <c:pt idx="39">
                  <c:v>1.0898107300093211E-3</c:v>
                </c:pt>
                <c:pt idx="40">
                  <c:v>5.619910058430092E-4</c:v>
                </c:pt>
                <c:pt idx="41">
                  <c:v>2.7844272248889705E-4</c:v>
                </c:pt>
                <c:pt idx="42">
                  <c:v>1.325472123892109E-4</c:v>
                </c:pt>
                <c:pt idx="43">
                  <c:v>6.0622458689370527E-5</c:v>
                </c:pt>
                <c:pt idx="44">
                  <c:v>2.6639416914222777E-5</c:v>
                </c:pt>
                <c:pt idx="45">
                  <c:v>1.1247191868502883E-5</c:v>
                </c:pt>
                <c:pt idx="46">
                  <c:v>4.5623827218526869E-6</c:v>
                </c:pt>
                <c:pt idx="47">
                  <c:v>1.7781465215265367E-6</c:v>
                </c:pt>
                <c:pt idx="48">
                  <c:v>6.6584262825779775E-7</c:v>
                </c:pt>
                <c:pt idx="49">
                  <c:v>2.3955424327235956E-7</c:v>
                </c:pt>
                <c:pt idx="50">
                  <c:v>8.2806487076914787E-8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27-4907-8A2D-CBA21532439A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Molybdän!$T$46:$T$97</c:f>
              <c:numCache>
                <c:formatCode>0.0</c:formatCode>
                <c:ptCount val="52"/>
                <c:pt idx="0">
                  <c:v>-9.6600000000000002E-3</c:v>
                </c:pt>
                <c:pt idx="1">
                  <c:v>9.6600000000000002E-3</c:v>
                </c:pt>
                <c:pt idx="2">
                  <c:v>0.95634000000000008</c:v>
                </c:pt>
                <c:pt idx="3">
                  <c:v>0.97566000000000008</c:v>
                </c:pt>
                <c:pt idx="4">
                  <c:v>1.9223400000000002</c:v>
                </c:pt>
                <c:pt idx="5">
                  <c:v>1.9416600000000002</c:v>
                </c:pt>
                <c:pt idx="6">
                  <c:v>2.8883400000000004</c:v>
                </c:pt>
                <c:pt idx="7">
                  <c:v>2.9076599999999999</c:v>
                </c:pt>
                <c:pt idx="8">
                  <c:v>3.8543400000000005</c:v>
                </c:pt>
                <c:pt idx="9">
                  <c:v>3.8736600000000001</c:v>
                </c:pt>
                <c:pt idx="10">
                  <c:v>4.8203399999999998</c:v>
                </c:pt>
                <c:pt idx="11">
                  <c:v>4.8396600000000003</c:v>
                </c:pt>
                <c:pt idx="12">
                  <c:v>5.78634</c:v>
                </c:pt>
                <c:pt idx="13">
                  <c:v>5.8056600000000005</c:v>
                </c:pt>
                <c:pt idx="14">
                  <c:v>6.7523400000000002</c:v>
                </c:pt>
                <c:pt idx="15">
                  <c:v>6.7716600000000007</c:v>
                </c:pt>
                <c:pt idx="16">
                  <c:v>7.7183400000000004</c:v>
                </c:pt>
                <c:pt idx="17">
                  <c:v>7.7376600000000009</c:v>
                </c:pt>
                <c:pt idx="18">
                  <c:v>8.6843400000000006</c:v>
                </c:pt>
                <c:pt idx="19">
                  <c:v>8.7036600000000011</c:v>
                </c:pt>
                <c:pt idx="20">
                  <c:v>9.6503399999999999</c:v>
                </c:pt>
                <c:pt idx="21">
                  <c:v>9.6696600000000004</c:v>
                </c:pt>
                <c:pt idx="22">
                  <c:v>10.616340000000001</c:v>
                </c:pt>
                <c:pt idx="23">
                  <c:v>10.635660000000001</c:v>
                </c:pt>
                <c:pt idx="24">
                  <c:v>11.58234</c:v>
                </c:pt>
                <c:pt idx="25">
                  <c:v>11.601660000000001</c:v>
                </c:pt>
                <c:pt idx="26">
                  <c:v>12.548340000000001</c:v>
                </c:pt>
                <c:pt idx="27">
                  <c:v>12.567660000000002</c:v>
                </c:pt>
                <c:pt idx="28">
                  <c:v>13.514340000000001</c:v>
                </c:pt>
                <c:pt idx="29">
                  <c:v>13.533660000000001</c:v>
                </c:pt>
                <c:pt idx="30">
                  <c:v>14.480340000000002</c:v>
                </c:pt>
                <c:pt idx="31">
                  <c:v>14.499660000000002</c:v>
                </c:pt>
                <c:pt idx="32">
                  <c:v>15.446340000000001</c:v>
                </c:pt>
                <c:pt idx="33">
                  <c:v>15.465660000000002</c:v>
                </c:pt>
                <c:pt idx="34">
                  <c:v>16.41234</c:v>
                </c:pt>
                <c:pt idx="35">
                  <c:v>16.431660000000001</c:v>
                </c:pt>
                <c:pt idx="36">
                  <c:v>17.378340000000001</c:v>
                </c:pt>
                <c:pt idx="37">
                  <c:v>17.397660000000002</c:v>
                </c:pt>
                <c:pt idx="38">
                  <c:v>18.344340000000003</c:v>
                </c:pt>
                <c:pt idx="39">
                  <c:v>18.363660000000003</c:v>
                </c:pt>
                <c:pt idx="40">
                  <c:v>19.31034</c:v>
                </c:pt>
                <c:pt idx="41">
                  <c:v>19.329660000000001</c:v>
                </c:pt>
                <c:pt idx="42">
                  <c:v>20.276340000000001</c:v>
                </c:pt>
                <c:pt idx="43">
                  <c:v>20.295660000000002</c:v>
                </c:pt>
                <c:pt idx="44">
                  <c:v>21.242340000000002</c:v>
                </c:pt>
                <c:pt idx="45">
                  <c:v>21.261660000000003</c:v>
                </c:pt>
                <c:pt idx="46">
                  <c:v>22.208340000000003</c:v>
                </c:pt>
                <c:pt idx="47">
                  <c:v>22.227660000000004</c:v>
                </c:pt>
                <c:pt idx="48">
                  <c:v>23.174340000000001</c:v>
                </c:pt>
                <c:pt idx="49">
                  <c:v>23.193660000000001</c:v>
                </c:pt>
                <c:pt idx="50">
                  <c:v>24.140340000000002</c:v>
                </c:pt>
                <c:pt idx="51">
                  <c:v>24.159660000000002</c:v>
                </c:pt>
              </c:numCache>
            </c:numRef>
          </c:xVal>
          <c:yVal>
            <c:numRef>
              <c:f>Molybdän!$U$46:$U$97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5.4484036177400011E-2</c:v>
                </c:pt>
                <c:pt idx="10">
                  <c:v>5.4484036177400011E-2</c:v>
                </c:pt>
                <c:pt idx="11">
                  <c:v>0.43587228941920009</c:v>
                </c:pt>
                <c:pt idx="12">
                  <c:v>0.43587228941920009</c:v>
                </c:pt>
                <c:pt idx="13">
                  <c:v>0.21793614470960004</c:v>
                </c:pt>
                <c:pt idx="14">
                  <c:v>0.21793614470960004</c:v>
                </c:pt>
                <c:pt idx="15">
                  <c:v>0.16345210853220005</c:v>
                </c:pt>
                <c:pt idx="16">
                  <c:v>0.16345210853220005</c:v>
                </c:pt>
                <c:pt idx="17">
                  <c:v>5.4484036177400011E-2</c:v>
                </c:pt>
                <c:pt idx="18">
                  <c:v>5.4484036177400011E-2</c:v>
                </c:pt>
                <c:pt idx="19">
                  <c:v>0</c:v>
                </c:pt>
                <c:pt idx="20">
                  <c:v>0</c:v>
                </c:pt>
                <c:pt idx="21">
                  <c:v>5.4484036177400011E-2</c:v>
                </c:pt>
                <c:pt idx="22">
                  <c:v>5.4484036177400011E-2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5.4484036177400011E-2</c:v>
                </c:pt>
                <c:pt idx="50">
                  <c:v>5.4484036177400011E-2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27-4907-8A2D-CBA21532439A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Molybdän!$U$3:$V$3</c:f>
              <c:numCache>
                <c:formatCode>0.000</c:formatCode>
                <c:ptCount val="2"/>
                <c:pt idx="0">
                  <c:v>14.597677462193687</c:v>
                </c:pt>
                <c:pt idx="1">
                  <c:v>14.597677462193687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27-4907-8A2D-CBA21532439A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Molybdän!$U$4:$V$4</c:f>
              <c:numCache>
                <c:formatCode>0.000</c:formatCode>
                <c:ptCount val="2"/>
                <c:pt idx="0">
                  <c:v>10.97798425859383</c:v>
                </c:pt>
                <c:pt idx="1">
                  <c:v>10.97798425859383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27-4907-8A2D-CBA21532439A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Molybdän!$U$5:$V$5</c:f>
              <c:numCache>
                <c:formatCode>0.000</c:formatCode>
                <c:ptCount val="2"/>
                <c:pt idx="0">
                  <c:v>16.16158564519418</c:v>
                </c:pt>
                <c:pt idx="1">
                  <c:v>16.16158564519418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27-4907-8A2D-CBA21532439A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Molybdän!$U$6:$V$6</c:f>
              <c:numCache>
                <c:formatCode>0.000</c:formatCode>
                <c:ptCount val="2"/>
                <c:pt idx="0">
                  <c:v>12.988937188095122</c:v>
                </c:pt>
                <c:pt idx="1">
                  <c:v>12.988937188095122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27-4907-8A2D-CBA21532439A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Molybdän!$U$7:$V$7</c:f>
              <c:numCache>
                <c:formatCode>0.000</c:formatCode>
                <c:ptCount val="2"/>
                <c:pt idx="0">
                  <c:v>-2.1345195674568442</c:v>
                </c:pt>
                <c:pt idx="1">
                  <c:v>-2.1345195674568442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27-4907-8A2D-CBA21532439A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Molybdän!$U$8:$V$8</c:f>
              <c:numCache>
                <c:formatCode>0.000</c:formatCode>
                <c:ptCount val="2"/>
                <c:pt idx="0">
                  <c:v>0.91298753165436053</c:v>
                </c:pt>
                <c:pt idx="1">
                  <c:v>0.91298753165436053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27-4907-8A2D-CBA21532439A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Molybdän!$U$11:$V$11</c:f>
              <c:numCache>
                <c:formatCode>0.000</c:formatCode>
                <c:ptCount val="2"/>
                <c:pt idx="0">
                  <c:v>5.4</c:v>
                </c:pt>
                <c:pt idx="1">
                  <c:v>5.4</c:v>
                </c:pt>
              </c:numCache>
            </c:numRef>
          </c:xVal>
          <c:yVal>
            <c:numRef>
              <c:f>Molybdän!$U$2:$V$2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27-4907-8A2D-CBA215324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52032"/>
        <c:axId val="156253568"/>
      </c:scatterChart>
      <c:valAx>
        <c:axId val="156252032"/>
        <c:scaling>
          <c:orientation val="minMax"/>
          <c:max val="5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6253568"/>
        <c:crosses val="autoZero"/>
        <c:crossBetween val="midCat"/>
        <c:majorUnit val="10"/>
        <c:minorUnit val="5"/>
      </c:valAx>
      <c:valAx>
        <c:axId val="156253568"/>
        <c:scaling>
          <c:orientation val="minMax"/>
          <c:max val="0.4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6252032"/>
        <c:crosses val="autoZero"/>
        <c:crossBetween val="midCat"/>
        <c:majorUnit val="0.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Natrium!$F$63:$F$113</c:f>
              <c:numCache>
                <c:formatCode>General</c:formatCode>
                <c:ptCount val="51"/>
                <c:pt idx="0">
                  <c:v>-29.49287829478088</c:v>
                </c:pt>
                <c:pt idx="1">
                  <c:v>-25.820467510815732</c:v>
                </c:pt>
                <c:pt idx="2">
                  <c:v>-22.148056726850584</c:v>
                </c:pt>
                <c:pt idx="3">
                  <c:v>-18.47564594288545</c:v>
                </c:pt>
                <c:pt idx="4">
                  <c:v>-14.803235158920288</c:v>
                </c:pt>
                <c:pt idx="5">
                  <c:v>-11.130824374955139</c:v>
                </c:pt>
                <c:pt idx="6">
                  <c:v>-7.4584135909899913</c:v>
                </c:pt>
                <c:pt idx="7">
                  <c:v>-3.7860028070248433</c:v>
                </c:pt>
                <c:pt idx="8">
                  <c:v>-0.11359202305968807</c:v>
                </c:pt>
                <c:pt idx="9">
                  <c:v>3.5588187609054529</c:v>
                </c:pt>
                <c:pt idx="10">
                  <c:v>7.231229544870601</c:v>
                </c:pt>
                <c:pt idx="11">
                  <c:v>10.903640328835756</c:v>
                </c:pt>
                <c:pt idx="12">
                  <c:v>14.576051112800897</c:v>
                </c:pt>
                <c:pt idx="13">
                  <c:v>18.248461896766052</c:v>
                </c:pt>
                <c:pt idx="14">
                  <c:v>21.920872680731193</c:v>
                </c:pt>
                <c:pt idx="15">
                  <c:v>25.593283464696349</c:v>
                </c:pt>
                <c:pt idx="16">
                  <c:v>29.265694248661497</c:v>
                </c:pt>
                <c:pt idx="17">
                  <c:v>32.938105032626645</c:v>
                </c:pt>
                <c:pt idx="18">
                  <c:v>36.6105158165918</c:v>
                </c:pt>
                <c:pt idx="19">
                  <c:v>40.282926600556948</c:v>
                </c:pt>
                <c:pt idx="20">
                  <c:v>43.955337384522096</c:v>
                </c:pt>
                <c:pt idx="21">
                  <c:v>47.627748168487244</c:v>
                </c:pt>
                <c:pt idx="22">
                  <c:v>51.300158952452392</c:v>
                </c:pt>
                <c:pt idx="23">
                  <c:v>54.97256973641754</c:v>
                </c:pt>
                <c:pt idx="24">
                  <c:v>58.644980520382688</c:v>
                </c:pt>
                <c:pt idx="25">
                  <c:v>62.317391304347836</c:v>
                </c:pt>
                <c:pt idx="26">
                  <c:v>65.989802088312985</c:v>
                </c:pt>
                <c:pt idx="27">
                  <c:v>69.662212872278133</c:v>
                </c:pt>
                <c:pt idx="28">
                  <c:v>73.334623656243281</c:v>
                </c:pt>
                <c:pt idx="29">
                  <c:v>77.007034440208614</c:v>
                </c:pt>
                <c:pt idx="30">
                  <c:v>80.679445224173762</c:v>
                </c:pt>
                <c:pt idx="31">
                  <c:v>84.35185600813891</c:v>
                </c:pt>
                <c:pt idx="32">
                  <c:v>88.024266792104058</c:v>
                </c:pt>
                <c:pt idx="33">
                  <c:v>91.69667757606922</c:v>
                </c:pt>
                <c:pt idx="34">
                  <c:v>95.369088360034368</c:v>
                </c:pt>
                <c:pt idx="35">
                  <c:v>99.041499143999516</c:v>
                </c:pt>
                <c:pt idx="36">
                  <c:v>102.71390992796466</c:v>
                </c:pt>
                <c:pt idx="37">
                  <c:v>106.38632071192981</c:v>
                </c:pt>
                <c:pt idx="38">
                  <c:v>110.05873149589496</c:v>
                </c:pt>
                <c:pt idx="39">
                  <c:v>113.73114227986011</c:v>
                </c:pt>
                <c:pt idx="40">
                  <c:v>117.40355306382526</c:v>
                </c:pt>
                <c:pt idx="41">
                  <c:v>121.0759638477904</c:v>
                </c:pt>
                <c:pt idx="42">
                  <c:v>124.74837463175555</c:v>
                </c:pt>
                <c:pt idx="43">
                  <c:v>128.4207854157207</c:v>
                </c:pt>
                <c:pt idx="44">
                  <c:v>132.09319619968585</c:v>
                </c:pt>
                <c:pt idx="45">
                  <c:v>135.765606983651</c:v>
                </c:pt>
                <c:pt idx="46">
                  <c:v>139.43801776761615</c:v>
                </c:pt>
                <c:pt idx="47">
                  <c:v>143.11042855158129</c:v>
                </c:pt>
                <c:pt idx="48">
                  <c:v>146.78283933554644</c:v>
                </c:pt>
                <c:pt idx="49">
                  <c:v>150.45525011951159</c:v>
                </c:pt>
                <c:pt idx="50">
                  <c:v>154.12766090347657</c:v>
                </c:pt>
              </c:numCache>
            </c:numRef>
          </c:xVal>
          <c:yVal>
            <c:numRef>
              <c:f>Natrium!$G$63:$G$113</c:f>
              <c:numCache>
                <c:formatCode>General</c:formatCode>
                <c:ptCount val="51"/>
                <c:pt idx="0">
                  <c:v>8.0966950713997625E-8</c:v>
                </c:pt>
                <c:pt idx="1">
                  <c:v>2.1573289721990255E-7</c:v>
                </c:pt>
                <c:pt idx="2">
                  <c:v>5.5227220820528973E-7</c:v>
                </c:pt>
                <c:pt idx="3">
                  <c:v>1.3583704415072449E-6</c:v>
                </c:pt>
                <c:pt idx="4">
                  <c:v>3.210047634861712E-6</c:v>
                </c:pt>
                <c:pt idx="5">
                  <c:v>7.2884126334248031E-6</c:v>
                </c:pt>
                <c:pt idx="6">
                  <c:v>1.5899470019322919E-5</c:v>
                </c:pt>
                <c:pt idx="7">
                  <c:v>3.3324263875137278E-5</c:v>
                </c:pt>
                <c:pt idx="8">
                  <c:v>6.7106826603018365E-5</c:v>
                </c:pt>
                <c:pt idx="9">
                  <c:v>1.2983777369756603E-4</c:v>
                </c:pt>
                <c:pt idx="10">
                  <c:v>2.4135907841730514E-4</c:v>
                </c:pt>
                <c:pt idx="11">
                  <c:v>4.3107658966372786E-4</c:v>
                </c:pt>
                <c:pt idx="12">
                  <c:v>7.3973038599020277E-4</c:v>
                </c:pt>
                <c:pt idx="13">
                  <c:v>1.2196092219652638E-3</c:v>
                </c:pt>
                <c:pt idx="14">
                  <c:v>1.9319512403745344E-3</c:v>
                </c:pt>
                <c:pt idx="15">
                  <c:v>2.9403555151797764E-3</c:v>
                </c:pt>
                <c:pt idx="16">
                  <c:v>4.2996365573053164E-3</c:v>
                </c:pt>
                <c:pt idx="17">
                  <c:v>6.040764021485249E-3</c:v>
                </c:pt>
                <c:pt idx="18">
                  <c:v>8.154178518890106E-3</c:v>
                </c:pt>
                <c:pt idx="19">
                  <c:v>1.0575399453192318E-2</c:v>
                </c:pt>
                <c:pt idx="20">
                  <c:v>1.3177759175289456E-2</c:v>
                </c:pt>
                <c:pt idx="21">
                  <c:v>1.5776642091694281E-2</c:v>
                </c:pt>
                <c:pt idx="22">
                  <c:v>1.8147458032024014E-2</c:v>
                </c:pt>
                <c:pt idx="23">
                  <c:v>2.0056042853991263E-2</c:v>
                </c:pt>
                <c:pt idx="24">
                  <c:v>2.1296239281447818E-2</c:v>
                </c:pt>
                <c:pt idx="25">
                  <c:v>2.17264518524635E-2</c:v>
                </c:pt>
                <c:pt idx="26">
                  <c:v>2.1296239281447818E-2</c:v>
                </c:pt>
                <c:pt idx="27">
                  <c:v>2.0056042853991263E-2</c:v>
                </c:pt>
                <c:pt idx="28">
                  <c:v>1.8147458032024014E-2</c:v>
                </c:pt>
                <c:pt idx="29">
                  <c:v>1.5776642091694153E-2</c:v>
                </c:pt>
                <c:pt idx="30">
                  <c:v>1.3177759175289325E-2</c:v>
                </c:pt>
                <c:pt idx="31">
                  <c:v>1.057539945319219E-2</c:v>
                </c:pt>
                <c:pt idx="32">
                  <c:v>8.1541785188899915E-3</c:v>
                </c:pt>
                <c:pt idx="33">
                  <c:v>6.0407640214851475E-3</c:v>
                </c:pt>
                <c:pt idx="34">
                  <c:v>4.2996365573052366E-3</c:v>
                </c:pt>
                <c:pt idx="35">
                  <c:v>2.9403555151797135E-3</c:v>
                </c:pt>
                <c:pt idx="36">
                  <c:v>1.9319512403744904E-3</c:v>
                </c:pt>
                <c:pt idx="37">
                  <c:v>1.2196092219652331E-3</c:v>
                </c:pt>
                <c:pt idx="38">
                  <c:v>7.3973038599018303E-4</c:v>
                </c:pt>
                <c:pt idx="39">
                  <c:v>4.3107658966371495E-4</c:v>
                </c:pt>
                <c:pt idx="40">
                  <c:v>2.4135907841729787E-4</c:v>
                </c:pt>
                <c:pt idx="41">
                  <c:v>1.2983777369756191E-4</c:v>
                </c:pt>
                <c:pt idx="42">
                  <c:v>6.7106826603016047E-5</c:v>
                </c:pt>
                <c:pt idx="43">
                  <c:v>3.3324263875136065E-5</c:v>
                </c:pt>
                <c:pt idx="44">
                  <c:v>1.5899470019322309E-5</c:v>
                </c:pt>
                <c:pt idx="45">
                  <c:v>7.2884126334245176E-6</c:v>
                </c:pt>
                <c:pt idx="46">
                  <c:v>3.2100476348615807E-6</c:v>
                </c:pt>
                <c:pt idx="47">
                  <c:v>1.358370441507187E-6</c:v>
                </c:pt>
                <c:pt idx="48">
                  <c:v>5.5227220820526221E-7</c:v>
                </c:pt>
                <c:pt idx="49">
                  <c:v>2.1573289721989252E-7</c:v>
                </c:pt>
                <c:pt idx="50">
                  <c:v>8.0966950713997334E-8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6B-428D-8E9F-10F481A5DA70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Natrium!$I$63:$I$113</c:f>
              <c:numCache>
                <c:formatCode>General</c:formatCode>
                <c:ptCount val="51"/>
                <c:pt idx="0">
                  <c:v>11.796080017862765</c:v>
                </c:pt>
                <c:pt idx="1">
                  <c:v>12.584318559700193</c:v>
                </c:pt>
                <c:pt idx="2">
                  <c:v>13.425228836376411</c:v>
                </c:pt>
                <c:pt idx="3">
                  <c:v>14.322330482499044</c:v>
                </c:pt>
                <c:pt idx="4">
                  <c:v>15.279378321962941</c:v>
                </c:pt>
                <c:pt idx="5">
                  <c:v>16.300378083786242</c:v>
                </c:pt>
                <c:pt idx="6">
                  <c:v>17.389603168111364</c:v>
                </c:pt>
                <c:pt idx="7">
                  <c:v>18.551612532544876</c:v>
                </c:pt>
                <c:pt idx="8">
                  <c:v>19.791269773699771</c:v>
                </c:pt>
                <c:pt idx="9">
                  <c:v>21.113763483805904</c:v>
                </c:pt>
                <c:pt idx="10">
                  <c:v>22.5246289675915</c:v>
                </c:pt>
                <c:pt idx="11">
                  <c:v>24.02977141033158</c:v>
                </c:pt>
                <c:pt idx="12">
                  <c:v>25.635490594033605</c:v>
                </c:pt>
                <c:pt idx="13">
                  <c:v>27.348507265209875</c:v>
                </c:pt>
                <c:pt idx="14">
                  <c:v>29.175991264599102</c:v>
                </c:pt>
                <c:pt idx="15">
                  <c:v>31.125591536574532</c:v>
                </c:pt>
                <c:pt idx="16">
                  <c:v>33.205468143842758</c:v>
                </c:pt>
                <c:pt idx="17">
                  <c:v>35.424326421431303</c:v>
                </c:pt>
                <c:pt idx="18">
                  <c:v>37.791453412916496</c:v>
                </c:pt>
                <c:pt idx="19">
                  <c:v>40.316756741395558</c:v>
                </c:pt>
                <c:pt idx="20">
                  <c:v>43.010806077897925</c:v>
                </c:pt>
                <c:pt idx="21">
                  <c:v>45.884877380801584</c:v>
                </c:pt>
                <c:pt idx="22">
                  <c:v>48.951000091419232</c:v>
                </c:pt>
                <c:pt idx="23">
                  <c:v>52.22200748329135</c:v>
                </c:pt>
                <c:pt idx="24">
                  <c:v>55.711590375923393</c:v>
                </c:pt>
                <c:pt idx="25">
                  <c:v>59.434354437786588</c:v>
                </c:pt>
                <c:pt idx="26">
                  <c:v>63.40588131842383</c:v>
                </c:pt>
                <c:pt idx="27">
                  <c:v>67.642793865530024</c:v>
                </c:pt>
                <c:pt idx="28">
                  <c:v>72.162825699972842</c:v>
                </c:pt>
                <c:pt idx="29">
                  <c:v>76.984895439961278</c:v>
                </c:pt>
                <c:pt idx="30">
                  <c:v>82.129185885025294</c:v>
                </c:pt>
                <c:pt idx="31">
                  <c:v>87.617228491236418</c:v>
                </c:pt>
                <c:pt idx="32">
                  <c:v>93.471993491235295</c:v>
                </c:pt>
                <c:pt idx="33">
                  <c:v>99.717986036267064</c:v>
                </c:pt>
                <c:pt idx="34">
                  <c:v>106.38134876262752</c:v>
                </c:pt>
                <c:pt idx="35">
                  <c:v>113.48997121181173</c:v>
                </c:pt>
                <c:pt idx="36">
                  <c:v>121.0736065623438</c:v>
                </c:pt>
                <c:pt idx="37">
                  <c:v>129.16399616187039</c:v>
                </c:pt>
                <c:pt idx="38">
                  <c:v>137.79500238074601</c:v>
                </c:pt>
                <c:pt idx="39">
                  <c:v>147.00275034317156</c:v>
                </c:pt>
                <c:pt idx="40">
                  <c:v>156.82577912910099</c:v>
                </c:pt>
                <c:pt idx="41">
                  <c:v>167.30520307977343</c:v>
                </c:pt>
                <c:pt idx="42">
                  <c:v>178.48488388201582</c:v>
                </c:pt>
                <c:pt idx="43">
                  <c:v>190.41161415157475</c:v>
                </c:pt>
                <c:pt idx="44">
                  <c:v>203.13531328386853</c:v>
                </c:pt>
                <c:pt idx="45">
                  <c:v>216.70923639189238</c:v>
                </c:pt>
                <c:pt idx="46">
                  <c:v>231.190197205788</c:v>
                </c:pt>
                <c:pt idx="47">
                  <c:v>246.63880586702464</c:v>
                </c:pt>
                <c:pt idx="48">
                  <c:v>263.11972261248189</c:v>
                </c:pt>
                <c:pt idx="49">
                  <c:v>280.70192841022697</c:v>
                </c:pt>
                <c:pt idx="50">
                  <c:v>299.45901367973732</c:v>
                </c:pt>
              </c:numCache>
            </c:numRef>
          </c:xVal>
          <c:yVal>
            <c:numRef>
              <c:f>Natrium!$J$63:$J$113</c:f>
              <c:numCache>
                <c:formatCode>General</c:formatCode>
                <c:ptCount val="51"/>
                <c:pt idx="0">
                  <c:v>3.8969342498521369E-7</c:v>
                </c:pt>
                <c:pt idx="1">
                  <c:v>9.7328420841971643E-7</c:v>
                </c:pt>
                <c:pt idx="2">
                  <c:v>2.3355248706009192E-6</c:v>
                </c:pt>
                <c:pt idx="3">
                  <c:v>5.3846507054573204E-6</c:v>
                </c:pt>
                <c:pt idx="4">
                  <c:v>1.1927757398828194E-5</c:v>
                </c:pt>
                <c:pt idx="5">
                  <c:v>2.5385649467449264E-5</c:v>
                </c:pt>
                <c:pt idx="6">
                  <c:v>5.1909396665717255E-5</c:v>
                </c:pt>
                <c:pt idx="7">
                  <c:v>1.0198396768590095E-4</c:v>
                </c:pt>
                <c:pt idx="8">
                  <c:v>1.9250678804692196E-4</c:v>
                </c:pt>
                <c:pt idx="9">
                  <c:v>3.4913100001935385E-4</c:v>
                </c:pt>
                <c:pt idx="10">
                  <c:v>6.083576835507554E-4</c:v>
                </c:pt>
                <c:pt idx="11">
                  <c:v>1.0184924253850618E-3</c:v>
                </c:pt>
                <c:pt idx="12">
                  <c:v>1.6382675539378328E-3</c:v>
                </c:pt>
                <c:pt idx="13">
                  <c:v>2.5318622729720765E-3</c:v>
                </c:pt>
                <c:pt idx="14">
                  <c:v>3.7594433549613224E-3</c:v>
                </c:pt>
                <c:pt idx="15">
                  <c:v>5.3633388281786156E-3</c:v>
                </c:pt>
                <c:pt idx="16">
                  <c:v>7.3514861580788234E-3</c:v>
                </c:pt>
                <c:pt idx="17">
                  <c:v>9.6815139172574671E-3</c:v>
                </c:pt>
                <c:pt idx="18">
                  <c:v>1.2250099749550077E-2</c:v>
                </c:pt>
                <c:pt idx="19">
                  <c:v>1.4892382998494684E-2</c:v>
                </c:pt>
                <c:pt idx="20">
                  <c:v>1.7394701848578085E-2</c:v>
                </c:pt>
                <c:pt idx="21">
                  <c:v>1.9520817548193511E-2</c:v>
                </c:pt>
                <c:pt idx="22">
                  <c:v>2.1047825581609503E-2</c:v>
                </c:pt>
                <c:pt idx="23">
                  <c:v>2.1804427626689035E-2</c:v>
                </c:pt>
                <c:pt idx="24">
                  <c:v>2.1702530043610335E-2</c:v>
                </c:pt>
                <c:pt idx="25">
                  <c:v>2.0754117068366981E-2</c:v>
                </c:pt>
                <c:pt idx="26">
                  <c:v>1.9068932388760392E-2</c:v>
                </c:pt>
                <c:pt idx="27">
                  <c:v>1.683358888093019E-2</c:v>
                </c:pt>
                <c:pt idx="28">
                  <c:v>1.4277602102961046E-2</c:v>
                </c:pt>
                <c:pt idx="29">
                  <c:v>1.1634883887975074E-2</c:v>
                </c:pt>
                <c:pt idx="30">
                  <c:v>9.1095527117412856E-3</c:v>
                </c:pt>
                <c:pt idx="31">
                  <c:v>6.8526771844883601E-3</c:v>
                </c:pt>
                <c:pt idx="32">
                  <c:v>4.9528105339072016E-3</c:v>
                </c:pt>
                <c:pt idx="33">
                  <c:v>3.4393104282493207E-3</c:v>
                </c:pt>
                <c:pt idx="34">
                  <c:v>2.2946648286691004E-3</c:v>
                </c:pt>
                <c:pt idx="35">
                  <c:v>1.4709413691415209E-3</c:v>
                </c:pt>
                <c:pt idx="36">
                  <c:v>9.0594052327684583E-4</c:v>
                </c:pt>
                <c:pt idx="37">
                  <c:v>5.3608324164970895E-4</c:v>
                </c:pt>
                <c:pt idx="38">
                  <c:v>3.0478458393895297E-4</c:v>
                </c:pt>
                <c:pt idx="39">
                  <c:v>1.6648763446957729E-4</c:v>
                </c:pt>
                <c:pt idx="40">
                  <c:v>8.7377414463748654E-5</c:v>
                </c:pt>
                <c:pt idx="41">
                  <c:v>4.406001262111537E-5</c:v>
                </c:pt>
                <c:pt idx="42">
                  <c:v>2.1346086529229276E-5</c:v>
                </c:pt>
                <c:pt idx="43">
                  <c:v>9.9361956541908784E-6</c:v>
                </c:pt>
                <c:pt idx="44">
                  <c:v>4.4437562042766304E-6</c:v>
                </c:pt>
                <c:pt idx="45">
                  <c:v>1.9094510742198926E-6</c:v>
                </c:pt>
                <c:pt idx="46">
                  <c:v>7.8830642489160503E-7</c:v>
                </c:pt>
                <c:pt idx="47">
                  <c:v>3.1268699451114826E-7</c:v>
                </c:pt>
                <c:pt idx="48">
                  <c:v>1.1916611772597208E-7</c:v>
                </c:pt>
                <c:pt idx="49">
                  <c:v>4.3633895204235785E-8</c:v>
                </c:pt>
                <c:pt idx="50">
                  <c:v>1.5350530835838469E-8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6B-428D-8E9F-10F481A5DA70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Natrium!$T$46:$T$97</c:f>
              <c:numCache>
                <c:formatCode>0.0</c:formatCode>
                <c:ptCount val="52"/>
                <c:pt idx="0">
                  <c:v>-4.8720000000000006E-2</c:v>
                </c:pt>
                <c:pt idx="1">
                  <c:v>4.8720000000000006E-2</c:v>
                </c:pt>
                <c:pt idx="2">
                  <c:v>4.8232800000000005</c:v>
                </c:pt>
                <c:pt idx="3">
                  <c:v>4.9207200000000011</c:v>
                </c:pt>
                <c:pt idx="4">
                  <c:v>9.6952800000000021</c:v>
                </c:pt>
                <c:pt idx="5">
                  <c:v>9.792720000000001</c:v>
                </c:pt>
                <c:pt idx="6">
                  <c:v>14.567280000000004</c:v>
                </c:pt>
                <c:pt idx="7">
                  <c:v>14.664720000000003</c:v>
                </c:pt>
                <c:pt idx="8">
                  <c:v>19.439280000000004</c:v>
                </c:pt>
                <c:pt idx="9">
                  <c:v>19.536720000000003</c:v>
                </c:pt>
                <c:pt idx="10">
                  <c:v>24.311280000000004</c:v>
                </c:pt>
                <c:pt idx="11">
                  <c:v>24.408720000000002</c:v>
                </c:pt>
                <c:pt idx="12">
                  <c:v>29.183280000000007</c:v>
                </c:pt>
                <c:pt idx="13">
                  <c:v>29.280720000000006</c:v>
                </c:pt>
                <c:pt idx="14">
                  <c:v>34.055280000000003</c:v>
                </c:pt>
                <c:pt idx="15">
                  <c:v>34.152720000000009</c:v>
                </c:pt>
                <c:pt idx="16">
                  <c:v>38.927280000000003</c:v>
                </c:pt>
                <c:pt idx="17">
                  <c:v>39.024720000000009</c:v>
                </c:pt>
                <c:pt idx="18">
                  <c:v>43.799280000000003</c:v>
                </c:pt>
                <c:pt idx="19">
                  <c:v>43.896720000000009</c:v>
                </c:pt>
                <c:pt idx="20">
                  <c:v>48.671280000000003</c:v>
                </c:pt>
                <c:pt idx="21">
                  <c:v>48.768720000000009</c:v>
                </c:pt>
                <c:pt idx="22">
                  <c:v>53.543280000000003</c:v>
                </c:pt>
                <c:pt idx="23">
                  <c:v>53.640720000000009</c:v>
                </c:pt>
                <c:pt idx="24">
                  <c:v>58.41528000000001</c:v>
                </c:pt>
                <c:pt idx="25">
                  <c:v>58.512720000000016</c:v>
                </c:pt>
                <c:pt idx="26">
                  <c:v>63.28728000000001</c:v>
                </c:pt>
                <c:pt idx="27">
                  <c:v>63.384720000000016</c:v>
                </c:pt>
                <c:pt idx="28">
                  <c:v>68.15928000000001</c:v>
                </c:pt>
                <c:pt idx="29">
                  <c:v>68.256720000000016</c:v>
                </c:pt>
                <c:pt idx="30">
                  <c:v>73.03128000000001</c:v>
                </c:pt>
                <c:pt idx="31">
                  <c:v>73.128720000000015</c:v>
                </c:pt>
                <c:pt idx="32">
                  <c:v>77.903280000000009</c:v>
                </c:pt>
                <c:pt idx="33">
                  <c:v>78.000720000000015</c:v>
                </c:pt>
                <c:pt idx="34">
                  <c:v>82.775280000000009</c:v>
                </c:pt>
                <c:pt idx="35">
                  <c:v>82.872720000000015</c:v>
                </c:pt>
                <c:pt idx="36">
                  <c:v>87.647280000000009</c:v>
                </c:pt>
                <c:pt idx="37">
                  <c:v>87.744720000000015</c:v>
                </c:pt>
                <c:pt idx="38">
                  <c:v>92.519280000000009</c:v>
                </c:pt>
                <c:pt idx="39">
                  <c:v>92.616720000000015</c:v>
                </c:pt>
                <c:pt idx="40">
                  <c:v>97.391280000000009</c:v>
                </c:pt>
                <c:pt idx="41">
                  <c:v>97.488720000000015</c:v>
                </c:pt>
                <c:pt idx="42">
                  <c:v>102.26328000000001</c:v>
                </c:pt>
                <c:pt idx="43">
                  <c:v>102.36072000000001</c:v>
                </c:pt>
                <c:pt idx="44">
                  <c:v>107.13528000000001</c:v>
                </c:pt>
                <c:pt idx="45">
                  <c:v>107.23272000000001</c:v>
                </c:pt>
                <c:pt idx="46">
                  <c:v>112.00728000000001</c:v>
                </c:pt>
                <c:pt idx="47">
                  <c:v>112.10472000000001</c:v>
                </c:pt>
                <c:pt idx="48">
                  <c:v>116.87928000000002</c:v>
                </c:pt>
                <c:pt idx="49">
                  <c:v>116.97672000000003</c:v>
                </c:pt>
                <c:pt idx="50">
                  <c:v>121.75128000000002</c:v>
                </c:pt>
                <c:pt idx="51">
                  <c:v>121.84872000000003</c:v>
                </c:pt>
              </c:numCache>
            </c:numRef>
          </c:xVal>
          <c:yVal>
            <c:numRef>
              <c:f>Natrium!$U$46:$U$97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4.4620546869422427E-3</c:v>
                </c:pt>
                <c:pt idx="14">
                  <c:v>4.4620546869422427E-3</c:v>
                </c:pt>
                <c:pt idx="15">
                  <c:v>1.7848218747768971E-2</c:v>
                </c:pt>
                <c:pt idx="16">
                  <c:v>1.7848218747768971E-2</c:v>
                </c:pt>
                <c:pt idx="17">
                  <c:v>4.4620546869422427E-3</c:v>
                </c:pt>
                <c:pt idx="18">
                  <c:v>4.4620546869422427E-3</c:v>
                </c:pt>
                <c:pt idx="19">
                  <c:v>8.9241093738844854E-3</c:v>
                </c:pt>
                <c:pt idx="20">
                  <c:v>8.9241093738844854E-3</c:v>
                </c:pt>
                <c:pt idx="21">
                  <c:v>8.9241093738844854E-3</c:v>
                </c:pt>
                <c:pt idx="22">
                  <c:v>8.9241093738844854E-3</c:v>
                </c:pt>
                <c:pt idx="23">
                  <c:v>1.3386164060826728E-2</c:v>
                </c:pt>
                <c:pt idx="24">
                  <c:v>1.3386164060826728E-2</c:v>
                </c:pt>
                <c:pt idx="25">
                  <c:v>1.7848218747768971E-2</c:v>
                </c:pt>
                <c:pt idx="26">
                  <c:v>1.7848218747768971E-2</c:v>
                </c:pt>
                <c:pt idx="27">
                  <c:v>2.231027343471121E-2</c:v>
                </c:pt>
                <c:pt idx="28">
                  <c:v>2.231027343471121E-2</c:v>
                </c:pt>
                <c:pt idx="29">
                  <c:v>3.1234382808595695E-2</c:v>
                </c:pt>
                <c:pt idx="30">
                  <c:v>3.1234382808595695E-2</c:v>
                </c:pt>
                <c:pt idx="31">
                  <c:v>3.1234382808595695E-2</c:v>
                </c:pt>
                <c:pt idx="32">
                  <c:v>3.1234382808595695E-2</c:v>
                </c:pt>
                <c:pt idx="33">
                  <c:v>4.4620546869422427E-3</c:v>
                </c:pt>
                <c:pt idx="34">
                  <c:v>4.4620546869422427E-3</c:v>
                </c:pt>
                <c:pt idx="35">
                  <c:v>2.6772328121653456E-2</c:v>
                </c:pt>
                <c:pt idx="36">
                  <c:v>2.6772328121653456E-2</c:v>
                </c:pt>
                <c:pt idx="37">
                  <c:v>4.4620546869422427E-3</c:v>
                </c:pt>
                <c:pt idx="38">
                  <c:v>4.4620546869422427E-3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4.4620546869422427E-3</c:v>
                </c:pt>
                <c:pt idx="44">
                  <c:v>4.4620546869422427E-3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4.4620546869422427E-3</c:v>
                </c:pt>
                <c:pt idx="50">
                  <c:v>4.4620546869422427E-3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6B-428D-8E9F-10F481A5DA70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Natrium!$U$3:$V$3</c:f>
              <c:numCache>
                <c:formatCode>0.000</c:formatCode>
                <c:ptCount val="2"/>
                <c:pt idx="0">
                  <c:v>98.306355669388807</c:v>
                </c:pt>
                <c:pt idx="1">
                  <c:v>98.306355669388807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6B-428D-8E9F-10F481A5DA70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Natrium!$U$4:$V$4</c:f>
              <c:numCache>
                <c:formatCode>0.000</c:formatCode>
                <c:ptCount val="2"/>
                <c:pt idx="0">
                  <c:v>101.17509891498089</c:v>
                </c:pt>
                <c:pt idx="1">
                  <c:v>101.17509891498089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96B-428D-8E9F-10F481A5DA70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Natrium!$U$5:$V$5</c:f>
              <c:numCache>
                <c:formatCode>0.000</c:formatCode>
                <c:ptCount val="2"/>
                <c:pt idx="0">
                  <c:v>105.03391640375774</c:v>
                </c:pt>
                <c:pt idx="1">
                  <c:v>105.03391640375774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96B-428D-8E9F-10F481A5DA70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Natrium!$U$6:$V$6</c:f>
              <c:numCache>
                <c:formatCode>0.000</c:formatCode>
                <c:ptCount val="2"/>
                <c:pt idx="0">
                  <c:v>115.4800746937412</c:v>
                </c:pt>
                <c:pt idx="1">
                  <c:v>115.4800746937412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96B-428D-8E9F-10F481A5DA70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Natrium!$U$7:$V$7</c:f>
              <c:numCache>
                <c:formatCode>0.000</c:formatCode>
                <c:ptCount val="2"/>
                <c:pt idx="0">
                  <c:v>26.328426939306858</c:v>
                </c:pt>
                <c:pt idx="1">
                  <c:v>26.328426939306858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96B-428D-8E9F-10F481A5DA70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Natrium!$U$8:$V$8</c:f>
              <c:numCache>
                <c:formatCode>0.000</c:formatCode>
                <c:ptCount val="2"/>
                <c:pt idx="0">
                  <c:v>3.4509788490910696</c:v>
                </c:pt>
                <c:pt idx="1">
                  <c:v>3.4509788490910696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96B-428D-8E9F-10F481A5DA70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Natrium!$U$11:$V$11</c:f>
              <c:numCache>
                <c:formatCode>0.000</c:formatCode>
                <c:ptCount val="2"/>
                <c:pt idx="0">
                  <c:v>64.05</c:v>
                </c:pt>
                <c:pt idx="1">
                  <c:v>64.05</c:v>
                </c:pt>
              </c:numCache>
            </c:numRef>
          </c:xVal>
          <c:yVal>
            <c:numRef>
              <c:f>Natrium!$U$2:$V$2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96B-428D-8E9F-10F481A5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49952"/>
        <c:axId val="132755840"/>
      </c:scatterChart>
      <c:valAx>
        <c:axId val="132749952"/>
        <c:scaling>
          <c:orientation val="minMax"/>
          <c:max val="15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2755840"/>
        <c:crosses val="autoZero"/>
        <c:crossBetween val="midCat"/>
        <c:majorUnit val="50"/>
        <c:minorUnit val="10"/>
      </c:valAx>
      <c:valAx>
        <c:axId val="132755840"/>
        <c:scaling>
          <c:orientation val="minMax"/>
          <c:max val="5.000000000000001E-2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2749952"/>
        <c:crosses val="autoZero"/>
        <c:crossBetween val="midCat"/>
        <c:majorUnit val="1.0000000000000002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Molybdän!$M$3:$M$252</c:f>
              <c:numCache>
                <c:formatCode>d/m/yyyy;@</c:formatCode>
                <c:ptCount val="250"/>
                <c:pt idx="0">
                  <c:v>39875</c:v>
                </c:pt>
                <c:pt idx="1">
                  <c:v>39969</c:v>
                </c:pt>
                <c:pt idx="2">
                  <c:v>40065</c:v>
                </c:pt>
                <c:pt idx="3">
                  <c:v>40142</c:v>
                </c:pt>
                <c:pt idx="4">
                  <c:v>40219</c:v>
                </c:pt>
                <c:pt idx="5">
                  <c:v>40350</c:v>
                </c:pt>
                <c:pt idx="6">
                  <c:v>40448</c:v>
                </c:pt>
                <c:pt idx="7">
                  <c:v>40521</c:v>
                </c:pt>
                <c:pt idx="8">
                  <c:v>40585</c:v>
                </c:pt>
                <c:pt idx="9">
                  <c:v>40675</c:v>
                </c:pt>
                <c:pt idx="10">
                  <c:v>40792</c:v>
                </c:pt>
                <c:pt idx="11">
                  <c:v>40871</c:v>
                </c:pt>
                <c:pt idx="12">
                  <c:v>40953</c:v>
                </c:pt>
                <c:pt idx="13">
                  <c:v>41058</c:v>
                </c:pt>
                <c:pt idx="14">
                  <c:v>41177</c:v>
                </c:pt>
                <c:pt idx="15">
                  <c:v>41305</c:v>
                </c:pt>
                <c:pt idx="16">
                  <c:v>41394</c:v>
                </c:pt>
                <c:pt idx="17">
                  <c:v>41471</c:v>
                </c:pt>
                <c:pt idx="18">
                  <c:v>41569</c:v>
                </c:pt>
              </c:numCache>
            </c:numRef>
          </c:xVal>
          <c:yVal>
            <c:numRef>
              <c:f>Molybdän!$N$3:$N$252</c:f>
              <c:numCache>
                <c:formatCode>General</c:formatCode>
                <c:ptCount val="250"/>
                <c:pt idx="0">
                  <c:v>9.1999999999999993</c:v>
                </c:pt>
                <c:pt idx="1">
                  <c:v>7.4</c:v>
                </c:pt>
                <c:pt idx="2">
                  <c:v>23</c:v>
                </c:pt>
                <c:pt idx="3">
                  <c:v>5.9</c:v>
                </c:pt>
                <c:pt idx="4">
                  <c:v>5.6</c:v>
                </c:pt>
                <c:pt idx="5">
                  <c:v>4.7</c:v>
                </c:pt>
                <c:pt idx="6">
                  <c:v>4.5</c:v>
                </c:pt>
                <c:pt idx="7">
                  <c:v>5.5</c:v>
                </c:pt>
                <c:pt idx="8">
                  <c:v>6</c:v>
                </c:pt>
                <c:pt idx="9">
                  <c:v>5.4</c:v>
                </c:pt>
                <c:pt idx="10">
                  <c:v>4.5</c:v>
                </c:pt>
                <c:pt idx="11">
                  <c:v>4.7</c:v>
                </c:pt>
                <c:pt idx="12">
                  <c:v>6</c:v>
                </c:pt>
                <c:pt idx="13">
                  <c:v>4.5</c:v>
                </c:pt>
                <c:pt idx="14">
                  <c:v>4.5</c:v>
                </c:pt>
                <c:pt idx="15">
                  <c:v>5.5</c:v>
                </c:pt>
                <c:pt idx="16">
                  <c:v>4.0999999999999996</c:v>
                </c:pt>
                <c:pt idx="17">
                  <c:v>3.4</c:v>
                </c:pt>
                <c:pt idx="18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D2-4D8F-B2D0-855FEBA9C52A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Molybdän!$E$57:$E$58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73415</c:v>
                </c:pt>
              </c:numCache>
            </c:numRef>
          </c:xVal>
          <c:yVal>
            <c:numRef>
              <c:f>Molybdän!$F$57:$F$58</c:f>
              <c:numCache>
                <c:formatCode>0.000</c:formatCode>
                <c:ptCount val="2"/>
                <c:pt idx="0">
                  <c:v>14.597677462193687</c:v>
                </c:pt>
                <c:pt idx="1">
                  <c:v>14.597677462193687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D2-4D8F-B2D0-855FEBA9C52A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Molybdän!$E$57:$E$58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73415</c:v>
                </c:pt>
              </c:numCache>
            </c:numRef>
          </c:xVal>
          <c:yVal>
            <c:numRef>
              <c:f>Molybdän!$J$57:$J$58</c:f>
              <c:numCache>
                <c:formatCode>0.000</c:formatCode>
                <c:ptCount val="2"/>
                <c:pt idx="0">
                  <c:v>10.97798425859383</c:v>
                </c:pt>
                <c:pt idx="1">
                  <c:v>10.97798425859383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D2-4D8F-B2D0-855FEBA9C52A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Molybdän!$G$122:$G$123</c:f>
              <c:numCache>
                <c:formatCode>d/m/yyyy;@</c:formatCode>
                <c:ptCount val="2"/>
                <c:pt idx="0">
                  <c:v>3.4</c:v>
                </c:pt>
                <c:pt idx="1">
                  <c:v>41569</c:v>
                </c:pt>
              </c:numCache>
            </c:numRef>
          </c:xVal>
          <c:yVal>
            <c:numRef>
              <c:f>Molybdän!$I$122:$I$123</c:f>
              <c:numCache>
                <c:formatCode>General</c:formatCode>
                <c:ptCount val="2"/>
                <c:pt idx="0">
                  <c:v>169.81714704008934</c:v>
                </c:pt>
                <c:pt idx="1">
                  <c:v>2.768543552333341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D2-4D8F-B2D0-855FEBA9C52A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Molybdän!$G$122:$G$123</c:f>
              <c:numCache>
                <c:formatCode>d/m/yyyy;@</c:formatCode>
                <c:ptCount val="2"/>
                <c:pt idx="0">
                  <c:v>3.4</c:v>
                </c:pt>
                <c:pt idx="1">
                  <c:v>41569</c:v>
                </c:pt>
              </c:numCache>
            </c:numRef>
          </c:xVal>
          <c:yVal>
            <c:numRef>
              <c:f>Molybdän!$J$122:$J$123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D2-4D8F-B2D0-855FEBA9C52A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Molybdän!$E$57:$E$58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73415</c:v>
                </c:pt>
              </c:numCache>
            </c:numRef>
          </c:xVal>
          <c:yVal>
            <c:numRef>
              <c:f>Molybdän!$G$57:$G$58</c:f>
              <c:numCache>
                <c:formatCode>0.000</c:formatCode>
                <c:ptCount val="2"/>
                <c:pt idx="0">
                  <c:v>-2.1345195674568442</c:v>
                </c:pt>
                <c:pt idx="1">
                  <c:v>-2.1345195674568442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D2-4D8F-B2D0-855FEBA9C52A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Molybdän!$E$57:$E$58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73415</c:v>
                </c:pt>
              </c:numCache>
            </c:numRef>
          </c:xVal>
          <c:yVal>
            <c:numRef>
              <c:f>Molybdän!$H$57:$H$58</c:f>
              <c:numCache>
                <c:formatCode>0.000</c:formatCode>
                <c:ptCount val="2"/>
                <c:pt idx="0">
                  <c:v>16.16158564519418</c:v>
                </c:pt>
                <c:pt idx="1">
                  <c:v>16.16158564519418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D2-4D8F-B2D0-855FEBA9C52A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Molybdän!$E$57:$E$58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73415</c:v>
                </c:pt>
              </c:numCache>
            </c:numRef>
          </c:xVal>
          <c:yVal>
            <c:numRef>
              <c:f>Molybdän!$K$57:$K$58</c:f>
              <c:numCache>
                <c:formatCode>0.000</c:formatCode>
                <c:ptCount val="2"/>
                <c:pt idx="0">
                  <c:v>12.988937188095122</c:v>
                </c:pt>
                <c:pt idx="1">
                  <c:v>12.988937188095122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D2-4D8F-B2D0-855FEBA9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38912"/>
        <c:axId val="156440448"/>
      </c:scatterChart>
      <c:valAx>
        <c:axId val="15643891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6440448"/>
        <c:crossesAt val="0"/>
        <c:crossBetween val="midCat"/>
        <c:majorUnit val="1461"/>
        <c:minorUnit val="365.25"/>
      </c:valAx>
      <c:valAx>
        <c:axId val="156440448"/>
        <c:scaling>
          <c:orientation val="minMax"/>
          <c:max val="5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6438912"/>
        <c:crossesAt val="0"/>
        <c:crossBetween val="midCat"/>
        <c:majorUnit val="1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Nickel!$F$63:$F$113</c:f>
              <c:numCache>
                <c:formatCode>General</c:formatCode>
                <c:ptCount val="51"/>
                <c:pt idx="0">
                  <c:v>-39.806860499083612</c:v>
                </c:pt>
                <c:pt idx="1">
                  <c:v>-37.873216216106563</c:v>
                </c:pt>
                <c:pt idx="2">
                  <c:v>-35.939571933129521</c:v>
                </c:pt>
                <c:pt idx="3">
                  <c:v>-34.005927650152486</c:v>
                </c:pt>
                <c:pt idx="4">
                  <c:v>-32.072283367175437</c:v>
                </c:pt>
                <c:pt idx="5">
                  <c:v>-30.138639084198395</c:v>
                </c:pt>
                <c:pt idx="6">
                  <c:v>-28.204994801221353</c:v>
                </c:pt>
                <c:pt idx="7">
                  <c:v>-26.271350518244311</c:v>
                </c:pt>
                <c:pt idx="8">
                  <c:v>-24.337706235267262</c:v>
                </c:pt>
                <c:pt idx="9">
                  <c:v>-22.40406195229022</c:v>
                </c:pt>
                <c:pt idx="10">
                  <c:v>-20.470417669313179</c:v>
                </c:pt>
                <c:pt idx="11">
                  <c:v>-18.536773386336137</c:v>
                </c:pt>
                <c:pt idx="12">
                  <c:v>-16.603129103359095</c:v>
                </c:pt>
                <c:pt idx="13">
                  <c:v>-14.669484820382047</c:v>
                </c:pt>
                <c:pt idx="14">
                  <c:v>-12.735840537405009</c:v>
                </c:pt>
                <c:pt idx="15">
                  <c:v>-10.802196254427963</c:v>
                </c:pt>
                <c:pt idx="16">
                  <c:v>-8.8685519714509216</c:v>
                </c:pt>
                <c:pt idx="17">
                  <c:v>-6.9349076884738778</c:v>
                </c:pt>
                <c:pt idx="18">
                  <c:v>-5.0012634054968341</c:v>
                </c:pt>
                <c:pt idx="19">
                  <c:v>-3.0676191225197904</c:v>
                </c:pt>
                <c:pt idx="20">
                  <c:v>-1.1339748395427485</c:v>
                </c:pt>
                <c:pt idx="21">
                  <c:v>0.79966944343429436</c:v>
                </c:pt>
                <c:pt idx="22">
                  <c:v>2.7333137264113381</c:v>
                </c:pt>
                <c:pt idx="23">
                  <c:v>4.6669580093883809</c:v>
                </c:pt>
                <c:pt idx="24">
                  <c:v>6.6006022923654237</c:v>
                </c:pt>
                <c:pt idx="25">
                  <c:v>8.5342465753424666</c:v>
                </c:pt>
                <c:pt idx="26">
                  <c:v>10.46789085831951</c:v>
                </c:pt>
                <c:pt idx="27">
                  <c:v>12.401535141296552</c:v>
                </c:pt>
                <c:pt idx="28">
                  <c:v>14.335179424273594</c:v>
                </c:pt>
                <c:pt idx="29">
                  <c:v>16.268823707250736</c:v>
                </c:pt>
                <c:pt idx="30">
                  <c:v>18.202467990227778</c:v>
                </c:pt>
                <c:pt idx="31">
                  <c:v>20.136112273204823</c:v>
                </c:pt>
                <c:pt idx="32">
                  <c:v>22.069756556181865</c:v>
                </c:pt>
                <c:pt idx="33">
                  <c:v>24.003400839158907</c:v>
                </c:pt>
                <c:pt idx="34">
                  <c:v>25.937045122135949</c:v>
                </c:pt>
                <c:pt idx="35">
                  <c:v>27.870689405112998</c:v>
                </c:pt>
                <c:pt idx="36">
                  <c:v>29.804333688090033</c:v>
                </c:pt>
                <c:pt idx="37">
                  <c:v>31.737977971067082</c:v>
                </c:pt>
                <c:pt idx="38">
                  <c:v>33.671622254044124</c:v>
                </c:pt>
                <c:pt idx="39">
                  <c:v>35.605266537021166</c:v>
                </c:pt>
                <c:pt idx="40">
                  <c:v>37.538910819998208</c:v>
                </c:pt>
                <c:pt idx="41">
                  <c:v>39.472555102975249</c:v>
                </c:pt>
                <c:pt idx="42">
                  <c:v>41.406199385952291</c:v>
                </c:pt>
                <c:pt idx="43">
                  <c:v>43.339843668929333</c:v>
                </c:pt>
                <c:pt idx="44">
                  <c:v>45.273487951906382</c:v>
                </c:pt>
                <c:pt idx="45">
                  <c:v>47.207132234883417</c:v>
                </c:pt>
                <c:pt idx="46">
                  <c:v>49.140776517860466</c:v>
                </c:pt>
                <c:pt idx="47">
                  <c:v>51.074420800837508</c:v>
                </c:pt>
                <c:pt idx="48">
                  <c:v>53.00806508381455</c:v>
                </c:pt>
                <c:pt idx="49">
                  <c:v>54.941709366791592</c:v>
                </c:pt>
                <c:pt idx="50">
                  <c:v>56.875353649768542</c:v>
                </c:pt>
              </c:numCache>
            </c:numRef>
          </c:xVal>
          <c:yVal>
            <c:numRef>
              <c:f>Nickel!$G$63:$G$113</c:f>
              <c:numCache>
                <c:formatCode>General</c:formatCode>
                <c:ptCount val="51"/>
                <c:pt idx="0">
                  <c:v>1.5377383811725094E-7</c:v>
                </c:pt>
                <c:pt idx="1">
                  <c:v>4.097236628169531E-7</c:v>
                </c:pt>
                <c:pt idx="2">
                  <c:v>1.0488849634612092E-6</c:v>
                </c:pt>
                <c:pt idx="3">
                  <c:v>2.5798407193749254E-6</c:v>
                </c:pt>
                <c:pt idx="4">
                  <c:v>6.0965781840485137E-6</c:v>
                </c:pt>
                <c:pt idx="5">
                  <c:v>1.3842279776385763E-5</c:v>
                </c:pt>
                <c:pt idx="6">
                  <c:v>3.0196549423452166E-5</c:v>
                </c:pt>
                <c:pt idx="7">
                  <c:v>6.3290020351797733E-5</c:v>
                </c:pt>
                <c:pt idx="8">
                  <c:v>1.2745044983929451E-4</c:v>
                </c:pt>
                <c:pt idx="9">
                  <c:v>2.4659015336515742E-4</c:v>
                </c:pt>
                <c:pt idx="10">
                  <c:v>4.5839335093368091E-4</c:v>
                </c:pt>
                <c:pt idx="11">
                  <c:v>8.1870814116785976E-4</c:v>
                </c:pt>
                <c:pt idx="12">
                  <c:v>1.4049087883706557E-3</c:v>
                </c:pt>
                <c:pt idx="13">
                  <c:v>2.3163030027802457E-3</c:v>
                </c:pt>
                <c:pt idx="14">
                  <c:v>3.6691953280687862E-3</c:v>
                </c:pt>
                <c:pt idx="15">
                  <c:v>5.5843742293761964E-3</c:v>
                </c:pt>
                <c:pt idx="16">
                  <c:v>8.1659443772504337E-3</c:v>
                </c:pt>
                <c:pt idx="17">
                  <c:v>1.1472723877494321E-2</c:v>
                </c:pt>
                <c:pt idx="18">
                  <c:v>1.5486557372923227E-2</c:v>
                </c:pt>
                <c:pt idx="19">
                  <c:v>2.0084982195819768E-2</c:v>
                </c:pt>
                <c:pt idx="20">
                  <c:v>2.502742894847285E-2</c:v>
                </c:pt>
                <c:pt idx="21">
                  <c:v>2.9963272491409117E-2</c:v>
                </c:pt>
                <c:pt idx="22">
                  <c:v>3.4465967274887425E-2</c:v>
                </c:pt>
                <c:pt idx="23">
                  <c:v>3.8090784695552563E-2</c:v>
                </c:pt>
                <c:pt idx="24">
                  <c:v>4.0446187276328378E-2</c:v>
                </c:pt>
                <c:pt idx="25">
                  <c:v>4.1263254458283334E-2</c:v>
                </c:pt>
                <c:pt idx="26">
                  <c:v>4.0446187276328378E-2</c:v>
                </c:pt>
                <c:pt idx="27">
                  <c:v>3.8090784695552563E-2</c:v>
                </c:pt>
                <c:pt idx="28">
                  <c:v>3.4465967274887432E-2</c:v>
                </c:pt>
                <c:pt idx="29">
                  <c:v>2.9963272491408878E-2</c:v>
                </c:pt>
                <c:pt idx="30">
                  <c:v>2.5027428948472596E-2</c:v>
                </c:pt>
                <c:pt idx="31">
                  <c:v>2.0084982195819525E-2</c:v>
                </c:pt>
                <c:pt idx="32">
                  <c:v>1.5486557372923006E-2</c:v>
                </c:pt>
                <c:pt idx="33">
                  <c:v>1.1472723877494142E-2</c:v>
                </c:pt>
                <c:pt idx="34">
                  <c:v>8.1659443772502879E-3</c:v>
                </c:pt>
                <c:pt idx="35">
                  <c:v>5.5843742293760767E-3</c:v>
                </c:pt>
                <c:pt idx="36">
                  <c:v>3.6691953280687081E-3</c:v>
                </c:pt>
                <c:pt idx="37">
                  <c:v>2.3163030027801871E-3</c:v>
                </c:pt>
                <c:pt idx="38">
                  <c:v>1.4049087883706182E-3</c:v>
                </c:pt>
                <c:pt idx="39">
                  <c:v>8.1870814116783634E-4</c:v>
                </c:pt>
                <c:pt idx="40">
                  <c:v>4.5839335093366708E-4</c:v>
                </c:pt>
                <c:pt idx="41">
                  <c:v>2.4659015336514934E-4</c:v>
                </c:pt>
                <c:pt idx="42">
                  <c:v>1.2745044983929007E-4</c:v>
                </c:pt>
                <c:pt idx="43">
                  <c:v>6.3290020351795538E-5</c:v>
                </c:pt>
                <c:pt idx="44">
                  <c:v>3.0196549423450983E-5</c:v>
                </c:pt>
                <c:pt idx="45">
                  <c:v>1.3842279776385223E-5</c:v>
                </c:pt>
                <c:pt idx="46">
                  <c:v>6.0965781840482638E-6</c:v>
                </c:pt>
                <c:pt idx="47">
                  <c:v>2.5798407193748153E-6</c:v>
                </c:pt>
                <c:pt idx="48">
                  <c:v>1.0488849634611571E-6</c:v>
                </c:pt>
                <c:pt idx="49">
                  <c:v>4.0972366281693415E-7</c:v>
                </c:pt>
                <c:pt idx="50">
                  <c:v>1.5377383811725094E-7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75-4172-8118-6E519BA14EE9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Nickel!$I$63:$I$113</c:f>
              <c:numCache>
                <c:formatCode>General</c:formatCode>
                <c:ptCount val="51"/>
                <c:pt idx="0">
                  <c:v>9.3579086345990964E-2</c:v>
                </c:pt>
                <c:pt idx="1">
                  <c:v>0.11041381398799799</c:v>
                </c:pt>
                <c:pt idx="2">
                  <c:v>0.13027708214954706</c:v>
                </c:pt>
                <c:pt idx="3">
                  <c:v>0.15371372041585926</c:v>
                </c:pt>
                <c:pt idx="4">
                  <c:v>0.18136657234126671</c:v>
                </c:pt>
                <c:pt idx="5">
                  <c:v>0.2139941280051546</c:v>
                </c:pt>
                <c:pt idx="6">
                  <c:v>0.25249132863645679</c:v>
                </c:pt>
                <c:pt idx="7">
                  <c:v>0.2979141139567511</c:v>
                </c:pt>
                <c:pt idx="8">
                  <c:v>0.35150838555103248</c:v>
                </c:pt>
                <c:pt idx="9">
                  <c:v>0.41474418070246405</c:v>
                </c:pt>
                <c:pt idx="10">
                  <c:v>0.48935599404522656</c:v>
                </c:pt>
                <c:pt idx="11">
                  <c:v>0.57739035301808384</c:v>
                </c:pt>
                <c:pt idx="12">
                  <c:v>0.68126195206579276</c:v>
                </c:pt>
                <c:pt idx="13">
                  <c:v>0.80381988529337034</c:v>
                </c:pt>
                <c:pt idx="14">
                  <c:v>0.9484257942687031</c:v>
                </c:pt>
                <c:pt idx="15">
                  <c:v>1.1190460744895929</c:v>
                </c:pt>
                <c:pt idx="16">
                  <c:v>1.3203606696464247</c:v>
                </c:pt>
                <c:pt idx="17">
                  <c:v>1.5578914377983175</c:v>
                </c:pt>
                <c:pt idx="18">
                  <c:v>1.83815361041861</c:v>
                </c:pt>
                <c:pt idx="19">
                  <c:v>2.1688344986798671</c:v>
                </c:pt>
                <c:pt idx="20">
                  <c:v>2.5590043487131227</c:v>
                </c:pt>
                <c:pt idx="21">
                  <c:v>3.019365129390295</c:v>
                </c:pt>
                <c:pt idx="22">
                  <c:v>3.5625440766298935</c:v>
                </c:pt>
                <c:pt idx="23">
                  <c:v>4.2034400458528181</c:v>
                </c:pt>
                <c:pt idx="24">
                  <c:v>4.9596321726898118</c:v>
                </c:pt>
                <c:pt idx="25">
                  <c:v>5.8518620510951749</c:v>
                </c:pt>
                <c:pt idx="26">
                  <c:v>6.9046026545302732</c:v>
                </c:pt>
                <c:pt idx="27">
                  <c:v>8.1467296051560893</c:v>
                </c:pt>
                <c:pt idx="28">
                  <c:v>9.6123132032775676</c:v>
                </c:pt>
                <c:pt idx="29">
                  <c:v>11.341552941615614</c:v>
                </c:pt>
                <c:pt idx="30">
                  <c:v>13.381880137198261</c:v>
                </c:pt>
                <c:pt idx="31">
                  <c:v>15.789258924962709</c:v>
                </c:pt>
                <c:pt idx="32">
                  <c:v>18.62972129802009</c:v>
                </c:pt>
                <c:pt idx="33">
                  <c:v>21.981178299204011</c:v>
                </c:pt>
                <c:pt idx="34">
                  <c:v>25.93555704307542</c:v>
                </c:pt>
                <c:pt idx="35">
                  <c:v>30.60132218476102</c:v>
                </c:pt>
                <c:pt idx="36">
                  <c:v>36.106450996994056</c:v>
                </c:pt>
                <c:pt idx="37">
                  <c:v>42.601943658746343</c:v>
                </c:pt>
                <c:pt idx="38">
                  <c:v>50.265965039158623</c:v>
                </c:pt>
                <c:pt idx="39">
                  <c:v>59.308731581761606</c:v>
                </c:pt>
                <c:pt idx="40">
                  <c:v>69.978277331335292</c:v>
                </c:pt>
                <c:pt idx="41">
                  <c:v>82.567257259758449</c:v>
                </c:pt>
                <c:pt idx="42">
                  <c:v>97.42097449927401</c:v>
                </c:pt>
                <c:pt idx="43">
                  <c:v>114.946851662152</c:v>
                </c:pt>
                <c:pt idx="44">
                  <c:v>135.62560603557952</c:v>
                </c:pt>
                <c:pt idx="45">
                  <c:v>160.02443517619901</c:v>
                </c:pt>
                <c:pt idx="46">
                  <c:v>188.81257457197046</c:v>
                </c:pt>
                <c:pt idx="47">
                  <c:v>222.77965410246472</c:v>
                </c:pt>
                <c:pt idx="48">
                  <c:v>262.8573567969429</c:v>
                </c:pt>
                <c:pt idx="49">
                  <c:v>310.14497396829768</c:v>
                </c:pt>
                <c:pt idx="50">
                  <c:v>365.93955767462876</c:v>
                </c:pt>
              </c:numCache>
            </c:numRef>
          </c:xVal>
          <c:yVal>
            <c:numRef>
              <c:f>Nickel!$J$63:$J$113</c:f>
              <c:numCache>
                <c:formatCode>General</c:formatCode>
                <c:ptCount val="51"/>
                <c:pt idx="0">
                  <c:v>1.9207478233000693E-5</c:v>
                </c:pt>
                <c:pt idx="1">
                  <c:v>4.3374484949311788E-5</c:v>
                </c:pt>
                <c:pt idx="2">
                  <c:v>9.4107997575416423E-5</c:v>
                </c:pt>
                <c:pt idx="3">
                  <c:v>1.9617648788827058E-4</c:v>
                </c:pt>
                <c:pt idx="4">
                  <c:v>3.9291227644675685E-4</c:v>
                </c:pt>
                <c:pt idx="5">
                  <c:v>7.5608820384768746E-4</c:v>
                </c:pt>
                <c:pt idx="6">
                  <c:v>1.3979046424032636E-3</c:v>
                </c:pt>
                <c:pt idx="7">
                  <c:v>2.4831951572475575E-3</c:v>
                </c:pt>
                <c:pt idx="8">
                  <c:v>4.2381115044235369E-3</c:v>
                </c:pt>
                <c:pt idx="9">
                  <c:v>6.9496370795885691E-3</c:v>
                </c:pt>
                <c:pt idx="10">
                  <c:v>1.0949142128610354E-2</c:v>
                </c:pt>
                <c:pt idx="11">
                  <c:v>1.657395981924787E-2</c:v>
                </c:pt>
                <c:pt idx="12">
                  <c:v>2.410464227402213E-2</c:v>
                </c:pt>
                <c:pt idx="13">
                  <c:v>3.368242260114615E-2</c:v>
                </c:pt>
                <c:pt idx="14">
                  <c:v>4.5220376196941886E-2</c:v>
                </c:pt>
                <c:pt idx="15">
                  <c:v>5.8330170010909482E-2</c:v>
                </c:pt>
                <c:pt idx="16">
                  <c:v>7.2290384418541034E-2</c:v>
                </c:pt>
                <c:pt idx="17">
                  <c:v>8.6078768861451369E-2</c:v>
                </c:pt>
                <c:pt idx="18">
                  <c:v>9.8478127075946678E-2</c:v>
                </c:pt>
                <c:pt idx="19">
                  <c:v>0.10824596947494683</c:v>
                </c:pt>
                <c:pt idx="20">
                  <c:v>0.11431728703628265</c:v>
                </c:pt>
                <c:pt idx="21">
                  <c:v>0.11599527660467927</c:v>
                </c:pt>
                <c:pt idx="22">
                  <c:v>0.11308289577298342</c:v>
                </c:pt>
                <c:pt idx="23">
                  <c:v>0.10592092339488079</c:v>
                </c:pt>
                <c:pt idx="24">
                  <c:v>9.5322366548300216E-2</c:v>
                </c:pt>
                <c:pt idx="25">
                  <c:v>8.2420661237090909E-2</c:v>
                </c:pt>
                <c:pt idx="26">
                  <c:v>6.8470830193202978E-2</c:v>
                </c:pt>
                <c:pt idx="27">
                  <c:v>5.4651654427067493E-2</c:v>
                </c:pt>
                <c:pt idx="28">
                  <c:v>4.1911118789474233E-2</c:v>
                </c:pt>
                <c:pt idx="29">
                  <c:v>3.088043543570116E-2</c:v>
                </c:pt>
                <c:pt idx="30">
                  <c:v>2.18607872481048E-2</c:v>
                </c:pt>
                <c:pt idx="31">
                  <c:v>1.4868816456556022E-2</c:v>
                </c:pt>
                <c:pt idx="32">
                  <c:v>9.7166201220170445E-3</c:v>
                </c:pt>
                <c:pt idx="33">
                  <c:v>6.1007365101228206E-3</c:v>
                </c:pt>
                <c:pt idx="34">
                  <c:v>3.6802517956846729E-3</c:v>
                </c:pt>
                <c:pt idx="35">
                  <c:v>2.1330499179386107E-3</c:v>
                </c:pt>
                <c:pt idx="36">
                  <c:v>1.1878257216496792E-3</c:v>
                </c:pt>
                <c:pt idx="37">
                  <c:v>6.3552501943410587E-4</c:v>
                </c:pt>
                <c:pt idx="38">
                  <c:v>3.2669373077100293E-4</c:v>
                </c:pt>
                <c:pt idx="39">
                  <c:v>1.6135304626689427E-4</c:v>
                </c:pt>
                <c:pt idx="40">
                  <c:v>7.6567022433534103E-5</c:v>
                </c:pt>
                <c:pt idx="41">
                  <c:v>3.4908771738480892E-5</c:v>
                </c:pt>
                <c:pt idx="42">
                  <c:v>1.5291694015196132E-5</c:v>
                </c:pt>
                <c:pt idx="43">
                  <c:v>6.4358342517062426E-6</c:v>
                </c:pt>
                <c:pt idx="44">
                  <c:v>2.60244957264827E-6</c:v>
                </c:pt>
                <c:pt idx="45">
                  <c:v>1.0110858113588142E-6</c:v>
                </c:pt>
                <c:pt idx="46">
                  <c:v>3.7741740967991882E-7</c:v>
                </c:pt>
                <c:pt idx="47">
                  <c:v>1.3535804215564546E-7</c:v>
                </c:pt>
                <c:pt idx="48">
                  <c:v>4.6641705145548732E-8</c:v>
                </c:pt>
                <c:pt idx="49">
                  <c:v>1.5441624772251945E-8</c:v>
                </c:pt>
                <c:pt idx="50">
                  <c:v>4.9117900111057919E-9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75-4172-8118-6E519BA14EE9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Nickel!$T$46:$T$97</c:f>
              <c:numCache>
                <c:formatCode>0.0</c:formatCode>
                <c:ptCount val="52"/>
                <c:pt idx="0">
                  <c:v>-2.3940000000000003E-2</c:v>
                </c:pt>
                <c:pt idx="1">
                  <c:v>2.3940000000000003E-2</c:v>
                </c:pt>
                <c:pt idx="2">
                  <c:v>2.3700600000000001</c:v>
                </c:pt>
                <c:pt idx="3">
                  <c:v>2.4179400000000002</c:v>
                </c:pt>
                <c:pt idx="4">
                  <c:v>4.7640600000000006</c:v>
                </c:pt>
                <c:pt idx="5">
                  <c:v>4.8119399999999999</c:v>
                </c:pt>
                <c:pt idx="6">
                  <c:v>7.1580600000000008</c:v>
                </c:pt>
                <c:pt idx="7">
                  <c:v>7.20594</c:v>
                </c:pt>
                <c:pt idx="8">
                  <c:v>9.5520600000000009</c:v>
                </c:pt>
                <c:pt idx="9">
                  <c:v>9.5999400000000001</c:v>
                </c:pt>
                <c:pt idx="10">
                  <c:v>11.946060000000001</c:v>
                </c:pt>
                <c:pt idx="11">
                  <c:v>11.99394</c:v>
                </c:pt>
                <c:pt idx="12">
                  <c:v>14.340060000000001</c:v>
                </c:pt>
                <c:pt idx="13">
                  <c:v>14.38794</c:v>
                </c:pt>
                <c:pt idx="14">
                  <c:v>16.734060000000003</c:v>
                </c:pt>
                <c:pt idx="15">
                  <c:v>16.781940000000002</c:v>
                </c:pt>
                <c:pt idx="16">
                  <c:v>19.128060000000001</c:v>
                </c:pt>
                <c:pt idx="17">
                  <c:v>19.175940000000001</c:v>
                </c:pt>
                <c:pt idx="18">
                  <c:v>21.52206</c:v>
                </c:pt>
                <c:pt idx="19">
                  <c:v>21.569939999999999</c:v>
                </c:pt>
                <c:pt idx="20">
                  <c:v>23.916060000000002</c:v>
                </c:pt>
                <c:pt idx="21">
                  <c:v>23.963940000000001</c:v>
                </c:pt>
                <c:pt idx="22">
                  <c:v>26.310060000000004</c:v>
                </c:pt>
                <c:pt idx="23">
                  <c:v>26.357940000000003</c:v>
                </c:pt>
                <c:pt idx="24">
                  <c:v>28.704060000000002</c:v>
                </c:pt>
                <c:pt idx="25">
                  <c:v>28.751940000000001</c:v>
                </c:pt>
                <c:pt idx="26">
                  <c:v>31.09806</c:v>
                </c:pt>
                <c:pt idx="27">
                  <c:v>31.14594</c:v>
                </c:pt>
                <c:pt idx="28">
                  <c:v>33.492060000000002</c:v>
                </c:pt>
                <c:pt idx="29">
                  <c:v>33.539940000000009</c:v>
                </c:pt>
                <c:pt idx="30">
                  <c:v>35.886060000000001</c:v>
                </c:pt>
                <c:pt idx="31">
                  <c:v>35.933940000000007</c:v>
                </c:pt>
                <c:pt idx="32">
                  <c:v>38.280059999999999</c:v>
                </c:pt>
                <c:pt idx="33">
                  <c:v>38.327940000000005</c:v>
                </c:pt>
                <c:pt idx="34">
                  <c:v>40.674059999999997</c:v>
                </c:pt>
                <c:pt idx="35">
                  <c:v>40.721940000000004</c:v>
                </c:pt>
                <c:pt idx="36">
                  <c:v>43.068059999999996</c:v>
                </c:pt>
                <c:pt idx="37">
                  <c:v>43.115940000000002</c:v>
                </c:pt>
                <c:pt idx="38">
                  <c:v>45.462060000000001</c:v>
                </c:pt>
                <c:pt idx="39">
                  <c:v>45.509940000000007</c:v>
                </c:pt>
                <c:pt idx="40">
                  <c:v>47.856059999999999</c:v>
                </c:pt>
                <c:pt idx="41">
                  <c:v>47.903940000000006</c:v>
                </c:pt>
                <c:pt idx="42">
                  <c:v>50.250059999999998</c:v>
                </c:pt>
                <c:pt idx="43">
                  <c:v>50.297940000000004</c:v>
                </c:pt>
                <c:pt idx="44">
                  <c:v>52.644060000000003</c:v>
                </c:pt>
                <c:pt idx="45">
                  <c:v>52.69194000000001</c:v>
                </c:pt>
                <c:pt idx="46">
                  <c:v>55.038060000000002</c:v>
                </c:pt>
                <c:pt idx="47">
                  <c:v>55.085940000000008</c:v>
                </c:pt>
                <c:pt idx="48">
                  <c:v>57.43206</c:v>
                </c:pt>
                <c:pt idx="49">
                  <c:v>57.479940000000006</c:v>
                </c:pt>
                <c:pt idx="50">
                  <c:v>59.826059999999998</c:v>
                </c:pt>
                <c:pt idx="51">
                  <c:v>59.873940000000005</c:v>
                </c:pt>
              </c:numCache>
            </c:numRef>
          </c:xVal>
          <c:yVal>
            <c:numRef>
              <c:f>Nickel!$U$46:$U$97</c:f>
              <c:numCache>
                <c:formatCode>0.0000</c:formatCode>
                <c:ptCount val="52"/>
                <c:pt idx="0">
                  <c:v>0</c:v>
                </c:pt>
                <c:pt idx="1">
                  <c:v>5.72206772639361E-2</c:v>
                </c:pt>
                <c:pt idx="2">
                  <c:v>5.72206772639361E-2</c:v>
                </c:pt>
                <c:pt idx="3">
                  <c:v>5.72206772639361E-2</c:v>
                </c:pt>
                <c:pt idx="4">
                  <c:v>5.72206772639361E-2</c:v>
                </c:pt>
                <c:pt idx="5">
                  <c:v>0.10871928680147858</c:v>
                </c:pt>
                <c:pt idx="6">
                  <c:v>0.10871928680147858</c:v>
                </c:pt>
                <c:pt idx="7">
                  <c:v>9.1553083622297748E-2</c:v>
                </c:pt>
                <c:pt idx="8">
                  <c:v>9.1553083622297748E-2</c:v>
                </c:pt>
                <c:pt idx="9">
                  <c:v>1.1444135452787219E-2</c:v>
                </c:pt>
                <c:pt idx="10">
                  <c:v>1.1444135452787219E-2</c:v>
                </c:pt>
                <c:pt idx="11">
                  <c:v>9.7275151348691358E-2</c:v>
                </c:pt>
                <c:pt idx="12">
                  <c:v>9.7275151348691358E-2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5.7220677263936093E-3</c:v>
                </c:pt>
                <c:pt idx="18">
                  <c:v>5.7220677263936093E-3</c:v>
                </c:pt>
                <c:pt idx="19">
                  <c:v>2.2888270905574437E-2</c:v>
                </c:pt>
                <c:pt idx="20">
                  <c:v>2.2888270905574437E-2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5.7220677263936093E-3</c:v>
                </c:pt>
                <c:pt idx="28">
                  <c:v>5.7220677263936093E-3</c:v>
                </c:pt>
                <c:pt idx="29">
                  <c:v>5.7220677263936093E-3</c:v>
                </c:pt>
                <c:pt idx="30">
                  <c:v>5.7220677263936093E-3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5.7220677263936093E-3</c:v>
                </c:pt>
                <c:pt idx="44">
                  <c:v>5.7220677263936093E-3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5.7220677263936093E-3</c:v>
                </c:pt>
                <c:pt idx="50">
                  <c:v>5.7220677263936093E-3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75-4172-8118-6E519BA14EE9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Nickel!$U$3:$V$3</c:f>
              <c:numCache>
                <c:formatCode>0.000</c:formatCode>
                <c:ptCount val="2"/>
                <c:pt idx="0">
                  <c:v>27.483612343076366</c:v>
                </c:pt>
                <c:pt idx="1">
                  <c:v>27.483612343076366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75-4172-8118-6E519BA14EE9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Nickel!$U$4:$V$4</c:f>
              <c:numCache>
                <c:formatCode>0.000</c:formatCode>
                <c:ptCount val="2"/>
                <c:pt idx="0">
                  <c:v>22.812003312071255</c:v>
                </c:pt>
                <c:pt idx="1">
                  <c:v>22.812003312071255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75-4172-8118-6E519BA14EE9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Nickel!$U$5:$V$5</c:f>
              <c:numCache>
                <c:formatCode>0.000</c:formatCode>
                <c:ptCount val="2"/>
                <c:pt idx="0">
                  <c:v>31.025892909616815</c:v>
                </c:pt>
                <c:pt idx="1">
                  <c:v>31.025892909616815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75-4172-8118-6E519BA14EE9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Nickel!$U$6:$V$6</c:f>
              <c:numCache>
                <c:formatCode>0.000</c:formatCode>
                <c:ptCount val="2"/>
                <c:pt idx="0">
                  <c:v>31.992489735355413</c:v>
                </c:pt>
                <c:pt idx="1">
                  <c:v>31.992489735355413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75-4172-8118-6E519BA14EE9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Nickel!$U$7:$V$7</c:f>
              <c:numCache>
                <c:formatCode>0.000</c:formatCode>
                <c:ptCount val="2"/>
                <c:pt idx="0">
                  <c:v>-10.415119192391435</c:v>
                </c:pt>
                <c:pt idx="1">
                  <c:v>-10.415119192391435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75-4172-8118-6E519BA14EE9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Nickel!$U$8:$V$8</c:f>
              <c:numCache>
                <c:formatCode>0.000</c:formatCode>
                <c:ptCount val="2"/>
                <c:pt idx="0">
                  <c:v>0.14559205920442997</c:v>
                </c:pt>
                <c:pt idx="1">
                  <c:v>0.14559205920442997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875-4172-8118-6E519BA14EE9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Nickel!$U$11:$V$11</c:f>
              <c:numCache>
                <c:formatCode>0.000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xVal>
          <c:yVal>
            <c:numRef>
              <c:f>Nickel!$U$2:$V$2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75-4172-8118-6E519BA1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89472"/>
        <c:axId val="157295360"/>
      </c:scatterChart>
      <c:valAx>
        <c:axId val="157289472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7295360"/>
        <c:crosses val="autoZero"/>
        <c:crossBetween val="midCat"/>
        <c:majorUnit val="20"/>
        <c:minorUnit val="10"/>
      </c:valAx>
      <c:valAx>
        <c:axId val="157295360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7289472"/>
        <c:crosses val="autoZero"/>
        <c:crossBetween val="midCat"/>
        <c:majorUnit val="0.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Nickel!$M$3:$M$252</c:f>
              <c:numCache>
                <c:formatCode>d/m/yyyy;@</c:formatCode>
                <c:ptCount val="250"/>
                <c:pt idx="0">
                  <c:v>35797</c:v>
                </c:pt>
                <c:pt idx="1">
                  <c:v>35887</c:v>
                </c:pt>
                <c:pt idx="2">
                  <c:v>35978</c:v>
                </c:pt>
                <c:pt idx="3">
                  <c:v>36070</c:v>
                </c:pt>
                <c:pt idx="4">
                  <c:v>36164</c:v>
                </c:pt>
                <c:pt idx="5">
                  <c:v>36256</c:v>
                </c:pt>
                <c:pt idx="6">
                  <c:v>36342</c:v>
                </c:pt>
                <c:pt idx="7">
                  <c:v>36479</c:v>
                </c:pt>
                <c:pt idx="8">
                  <c:v>36571</c:v>
                </c:pt>
                <c:pt idx="9">
                  <c:v>36661</c:v>
                </c:pt>
                <c:pt idx="10">
                  <c:v>36755</c:v>
                </c:pt>
                <c:pt idx="11">
                  <c:v>36843</c:v>
                </c:pt>
                <c:pt idx="12">
                  <c:v>36944</c:v>
                </c:pt>
                <c:pt idx="13">
                  <c:v>37032</c:v>
                </c:pt>
                <c:pt idx="14">
                  <c:v>37118</c:v>
                </c:pt>
                <c:pt idx="15">
                  <c:v>37216</c:v>
                </c:pt>
                <c:pt idx="16">
                  <c:v>37258</c:v>
                </c:pt>
                <c:pt idx="17">
                  <c:v>37288</c:v>
                </c:pt>
                <c:pt idx="18">
                  <c:v>37314</c:v>
                </c:pt>
                <c:pt idx="19">
                  <c:v>37316</c:v>
                </c:pt>
                <c:pt idx="20">
                  <c:v>37348</c:v>
                </c:pt>
                <c:pt idx="21">
                  <c:v>37378</c:v>
                </c:pt>
                <c:pt idx="22">
                  <c:v>37399</c:v>
                </c:pt>
                <c:pt idx="23">
                  <c:v>37407</c:v>
                </c:pt>
                <c:pt idx="24">
                  <c:v>37438</c:v>
                </c:pt>
                <c:pt idx="25">
                  <c:v>37469</c:v>
                </c:pt>
                <c:pt idx="26">
                  <c:v>37488</c:v>
                </c:pt>
                <c:pt idx="27">
                  <c:v>37501</c:v>
                </c:pt>
                <c:pt idx="28">
                  <c:v>37530</c:v>
                </c:pt>
                <c:pt idx="29">
                  <c:v>37560</c:v>
                </c:pt>
                <c:pt idx="30">
                  <c:v>37579</c:v>
                </c:pt>
                <c:pt idx="31">
                  <c:v>37592</c:v>
                </c:pt>
                <c:pt idx="32">
                  <c:v>37623</c:v>
                </c:pt>
                <c:pt idx="33">
                  <c:v>37652</c:v>
                </c:pt>
                <c:pt idx="34">
                  <c:v>37679</c:v>
                </c:pt>
                <c:pt idx="35">
                  <c:v>37680</c:v>
                </c:pt>
                <c:pt idx="36">
                  <c:v>37712</c:v>
                </c:pt>
                <c:pt idx="37">
                  <c:v>37743</c:v>
                </c:pt>
                <c:pt idx="38">
                  <c:v>37754</c:v>
                </c:pt>
                <c:pt idx="39">
                  <c:v>37774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37867</c:v>
                </c:pt>
                <c:pt idx="44">
                  <c:v>37895</c:v>
                </c:pt>
                <c:pt idx="45">
                  <c:v>37925</c:v>
                </c:pt>
                <c:pt idx="46">
                  <c:v>37938</c:v>
                </c:pt>
                <c:pt idx="47">
                  <c:v>37956</c:v>
                </c:pt>
                <c:pt idx="48">
                  <c:v>37988</c:v>
                </c:pt>
                <c:pt idx="49">
                  <c:v>38019</c:v>
                </c:pt>
                <c:pt idx="50">
                  <c:v>38029</c:v>
                </c:pt>
                <c:pt idx="51">
                  <c:v>38048</c:v>
                </c:pt>
                <c:pt idx="52">
                  <c:v>38078</c:v>
                </c:pt>
                <c:pt idx="53">
                  <c:v>38107</c:v>
                </c:pt>
                <c:pt idx="54">
                  <c:v>38139</c:v>
                </c:pt>
                <c:pt idx="55">
                  <c:v>38140</c:v>
                </c:pt>
                <c:pt idx="56">
                  <c:v>38169</c:v>
                </c:pt>
                <c:pt idx="57">
                  <c:v>38203</c:v>
                </c:pt>
                <c:pt idx="58">
                  <c:v>38236</c:v>
                </c:pt>
                <c:pt idx="59">
                  <c:v>38246</c:v>
                </c:pt>
                <c:pt idx="60">
                  <c:v>38261</c:v>
                </c:pt>
                <c:pt idx="61">
                  <c:v>38293</c:v>
                </c:pt>
                <c:pt idx="62">
                  <c:v>38301</c:v>
                </c:pt>
                <c:pt idx="63">
                  <c:v>38323</c:v>
                </c:pt>
                <c:pt idx="64">
                  <c:v>38412</c:v>
                </c:pt>
                <c:pt idx="65">
                  <c:v>38504</c:v>
                </c:pt>
                <c:pt idx="66">
                  <c:v>38748</c:v>
                </c:pt>
                <c:pt idx="67">
                  <c:v>38783</c:v>
                </c:pt>
                <c:pt idx="68">
                  <c:v>38827</c:v>
                </c:pt>
                <c:pt idx="69">
                  <c:v>38909</c:v>
                </c:pt>
                <c:pt idx="70">
                  <c:v>39016</c:v>
                </c:pt>
                <c:pt idx="71">
                  <c:v>39106</c:v>
                </c:pt>
                <c:pt idx="72">
                  <c:v>39184</c:v>
                </c:pt>
              </c:numCache>
            </c:numRef>
          </c:xVal>
          <c:yVal>
            <c:numRef>
              <c:f>Nickel!$N$3:$N$252</c:f>
              <c:numCache>
                <c:formatCode>General</c:formatCode>
                <c:ptCount val="250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3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17</c:v>
                </c:pt>
                <c:pt idx="17">
                  <c:v>1</c:v>
                </c:pt>
                <c:pt idx="18">
                  <c:v>10</c:v>
                </c:pt>
                <c:pt idx="19">
                  <c:v>4</c:v>
                </c:pt>
                <c:pt idx="20">
                  <c:v>5</c:v>
                </c:pt>
                <c:pt idx="21">
                  <c:v>29</c:v>
                </c:pt>
                <c:pt idx="22">
                  <c:v>10</c:v>
                </c:pt>
                <c:pt idx="23">
                  <c:v>49</c:v>
                </c:pt>
                <c:pt idx="24">
                  <c:v>32</c:v>
                </c:pt>
                <c:pt idx="25">
                  <c:v>57</c:v>
                </c:pt>
                <c:pt idx="26">
                  <c:v>10</c:v>
                </c:pt>
                <c:pt idx="27">
                  <c:v>21</c:v>
                </c:pt>
                <c:pt idx="28">
                  <c:v>4</c:v>
                </c:pt>
                <c:pt idx="29">
                  <c:v>4</c:v>
                </c:pt>
                <c:pt idx="30">
                  <c:v>10</c:v>
                </c:pt>
                <c:pt idx="31">
                  <c:v>3</c:v>
                </c:pt>
                <c:pt idx="32">
                  <c:v>2</c:v>
                </c:pt>
                <c:pt idx="33">
                  <c:v>9</c:v>
                </c:pt>
                <c:pt idx="34">
                  <c:v>10</c:v>
                </c:pt>
                <c:pt idx="35">
                  <c:v>8</c:v>
                </c:pt>
                <c:pt idx="36">
                  <c:v>6</c:v>
                </c:pt>
                <c:pt idx="37">
                  <c:v>5</c:v>
                </c:pt>
                <c:pt idx="38">
                  <c:v>10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10</c:v>
                </c:pt>
                <c:pt idx="44">
                  <c:v>2</c:v>
                </c:pt>
                <c:pt idx="45">
                  <c:v>4</c:v>
                </c:pt>
                <c:pt idx="46">
                  <c:v>10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10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5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10</c:v>
                </c:pt>
                <c:pt idx="63">
                  <c:v>6</c:v>
                </c:pt>
                <c:pt idx="64">
                  <c:v>10</c:v>
                </c:pt>
                <c:pt idx="65">
                  <c:v>20</c:v>
                </c:pt>
                <c:pt idx="66">
                  <c:v>2</c:v>
                </c:pt>
                <c:pt idx="67">
                  <c:v>2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3E-42A5-A7B5-73E12131A933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Nickel!$E$57:$E$58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Nickel!$F$57:$F$58</c:f>
              <c:numCache>
                <c:formatCode>0.000</c:formatCode>
                <c:ptCount val="2"/>
                <c:pt idx="0">
                  <c:v>27.483612343076366</c:v>
                </c:pt>
                <c:pt idx="1">
                  <c:v>27.483612343076366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3E-42A5-A7B5-73E12131A933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Nickel!$E$57:$E$58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Nickel!$J$57:$J$58</c:f>
              <c:numCache>
                <c:formatCode>0.000</c:formatCode>
                <c:ptCount val="2"/>
                <c:pt idx="0">
                  <c:v>22.812003312071255</c:v>
                </c:pt>
                <c:pt idx="1">
                  <c:v>22.812003312071255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3E-42A5-A7B5-73E12131A933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Nickel!$G$122:$G$123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39184</c:v>
                </c:pt>
              </c:numCache>
            </c:numRef>
          </c:xVal>
          <c:yVal>
            <c:numRef>
              <c:f>Nickel!$I$122:$I$123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3E-42A5-A7B5-73E12131A933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Nickel!$G$122:$G$123</c:f>
              <c:numCache>
                <c:formatCode>d/m/yyyy;@</c:formatCode>
                <c:ptCount val="2"/>
                <c:pt idx="0">
                  <c:v>1</c:v>
                </c:pt>
                <c:pt idx="1">
                  <c:v>39184</c:v>
                </c:pt>
              </c:numCache>
            </c:numRef>
          </c:xVal>
          <c:yVal>
            <c:numRef>
              <c:f>Nickel!$J$122:$J$123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3E-42A5-A7B5-73E12131A933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Nickel!$E$57:$E$58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Nickel!$G$57:$G$58</c:f>
              <c:numCache>
                <c:formatCode>0.000</c:formatCode>
                <c:ptCount val="2"/>
                <c:pt idx="0">
                  <c:v>-10.415119192391435</c:v>
                </c:pt>
                <c:pt idx="1">
                  <c:v>-10.415119192391435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3E-42A5-A7B5-73E12131A933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Nickel!$E$57:$E$58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Nickel!$H$57:$H$58</c:f>
              <c:numCache>
                <c:formatCode>0.000</c:formatCode>
                <c:ptCount val="2"/>
                <c:pt idx="0">
                  <c:v>31.025892909616815</c:v>
                </c:pt>
                <c:pt idx="1">
                  <c:v>31.025892909616815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3E-42A5-A7B5-73E12131A933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Nickel!$E$57:$E$58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Nickel!$K$57:$K$58</c:f>
              <c:numCache>
                <c:formatCode>0.000</c:formatCode>
                <c:ptCount val="2"/>
                <c:pt idx="0">
                  <c:v>31.992489735355413</c:v>
                </c:pt>
                <c:pt idx="1">
                  <c:v>31.992489735355413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3E-42A5-A7B5-73E12131A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41184"/>
        <c:axId val="157342720"/>
      </c:scatterChart>
      <c:valAx>
        <c:axId val="157341184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342720"/>
        <c:crossesAt val="0"/>
        <c:crossBetween val="midCat"/>
        <c:majorUnit val="1461"/>
        <c:minorUnit val="365.25"/>
      </c:valAx>
      <c:valAx>
        <c:axId val="1573427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341184"/>
        <c:crossesAt val="0"/>
        <c:crossBetween val="midCat"/>
        <c:majorUnit val="2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Quecksilber!$F$63:$F$113</c:f>
              <c:numCache>
                <c:formatCode>General</c:formatCode>
                <c:ptCount val="51"/>
                <c:pt idx="0">
                  <c:v>-1.5831470050288279</c:v>
                </c:pt>
                <c:pt idx="1">
                  <c:v>-1.5082711248276746</c:v>
                </c:pt>
                <c:pt idx="2">
                  <c:v>-1.4333952446265212</c:v>
                </c:pt>
                <c:pt idx="3">
                  <c:v>-1.3585193644253688</c:v>
                </c:pt>
                <c:pt idx="4">
                  <c:v>-1.2836434842242155</c:v>
                </c:pt>
                <c:pt idx="5">
                  <c:v>-1.2087676040230622</c:v>
                </c:pt>
                <c:pt idx="6">
                  <c:v>-1.1338917238219093</c:v>
                </c:pt>
                <c:pt idx="7">
                  <c:v>-1.059015843620756</c:v>
                </c:pt>
                <c:pt idx="8">
                  <c:v>-0.98413996341960297</c:v>
                </c:pt>
                <c:pt idx="9">
                  <c:v>-0.90926408321844987</c:v>
                </c:pt>
                <c:pt idx="10">
                  <c:v>-0.83438820301729677</c:v>
                </c:pt>
                <c:pt idx="11">
                  <c:v>-0.75951232281614367</c:v>
                </c:pt>
                <c:pt idx="12">
                  <c:v>-0.68463644261499057</c:v>
                </c:pt>
                <c:pt idx="13">
                  <c:v>-0.60976056241383747</c:v>
                </c:pt>
                <c:pt idx="14">
                  <c:v>-0.53488468221268448</c:v>
                </c:pt>
                <c:pt idx="15">
                  <c:v>-0.46000880201153127</c:v>
                </c:pt>
                <c:pt idx="16">
                  <c:v>-0.38513292181037817</c:v>
                </c:pt>
                <c:pt idx="17">
                  <c:v>-0.31025704160922507</c:v>
                </c:pt>
                <c:pt idx="18">
                  <c:v>-0.23538116140807197</c:v>
                </c:pt>
                <c:pt idx="19">
                  <c:v>-0.16050528120691887</c:v>
                </c:pt>
                <c:pt idx="20">
                  <c:v>-8.5629401005765771E-2</c:v>
                </c:pt>
                <c:pt idx="21">
                  <c:v>-1.0753520804612671E-2</c:v>
                </c:pt>
                <c:pt idx="22">
                  <c:v>6.4122359396540429E-2</c:v>
                </c:pt>
                <c:pt idx="23">
                  <c:v>0.13899823959769353</c:v>
                </c:pt>
                <c:pt idx="24">
                  <c:v>0.21387411979884663</c:v>
                </c:pt>
                <c:pt idx="25">
                  <c:v>0.28874999999999973</c:v>
                </c:pt>
                <c:pt idx="26">
                  <c:v>0.36362588020115283</c:v>
                </c:pt>
                <c:pt idx="27">
                  <c:v>0.43850176040230593</c:v>
                </c:pt>
                <c:pt idx="28">
                  <c:v>0.51337764060345903</c:v>
                </c:pt>
                <c:pt idx="29">
                  <c:v>0.5882535208046159</c:v>
                </c:pt>
                <c:pt idx="30">
                  <c:v>0.66312940100576889</c:v>
                </c:pt>
                <c:pt idx="31">
                  <c:v>0.73800528120692199</c:v>
                </c:pt>
                <c:pt idx="32">
                  <c:v>0.81288116140807509</c:v>
                </c:pt>
                <c:pt idx="33">
                  <c:v>0.8877570416092283</c:v>
                </c:pt>
                <c:pt idx="34">
                  <c:v>0.9626329218103814</c:v>
                </c:pt>
                <c:pt idx="35">
                  <c:v>1.0375088020115344</c:v>
                </c:pt>
                <c:pt idx="36">
                  <c:v>1.1123846822126877</c:v>
                </c:pt>
                <c:pt idx="37">
                  <c:v>1.1872605624138406</c:v>
                </c:pt>
                <c:pt idx="38">
                  <c:v>1.2621364426149937</c:v>
                </c:pt>
                <c:pt idx="39">
                  <c:v>1.3370123228161468</c:v>
                </c:pt>
                <c:pt idx="40">
                  <c:v>1.4118882030173001</c:v>
                </c:pt>
                <c:pt idx="41">
                  <c:v>1.486764083218453</c:v>
                </c:pt>
                <c:pt idx="42">
                  <c:v>1.5616399634196063</c:v>
                </c:pt>
                <c:pt idx="43">
                  <c:v>1.6365158436207592</c:v>
                </c:pt>
                <c:pt idx="44">
                  <c:v>1.7113917238219125</c:v>
                </c:pt>
                <c:pt idx="45">
                  <c:v>1.7862676040230654</c:v>
                </c:pt>
                <c:pt idx="46">
                  <c:v>1.8611434842242187</c:v>
                </c:pt>
                <c:pt idx="47">
                  <c:v>1.9360193644253716</c:v>
                </c:pt>
                <c:pt idx="48">
                  <c:v>2.0108952446265249</c:v>
                </c:pt>
                <c:pt idx="49">
                  <c:v>2.0857711248276778</c:v>
                </c:pt>
                <c:pt idx="50">
                  <c:v>2.1606470050288271</c:v>
                </c:pt>
              </c:numCache>
            </c:numRef>
          </c:xVal>
          <c:yVal>
            <c:numRef>
              <c:f>Quecksilber!$G$63:$G$113</c:f>
              <c:numCache>
                <c:formatCode>General</c:formatCode>
                <c:ptCount val="51"/>
                <c:pt idx="0">
                  <c:v>3.9711573626653583E-6</c:v>
                </c:pt>
                <c:pt idx="1">
                  <c:v>1.0580975022637719E-5</c:v>
                </c:pt>
                <c:pt idx="2">
                  <c:v>2.7087099445758736E-5</c:v>
                </c:pt>
                <c:pt idx="3">
                  <c:v>6.6623514069005425E-5</c:v>
                </c:pt>
                <c:pt idx="4">
                  <c:v>1.574420697244294E-4</c:v>
                </c:pt>
                <c:pt idx="5">
                  <c:v>3.5747219373008282E-4</c:v>
                </c:pt>
                <c:pt idx="6">
                  <c:v>7.7981567630897378E-4</c:v>
                </c:pt>
                <c:pt idx="7">
                  <c:v>1.6344433707354228E-3</c:v>
                </c:pt>
                <c:pt idx="8">
                  <c:v>3.2913647630256329E-3</c:v>
                </c:pt>
                <c:pt idx="9">
                  <c:v>6.3681073132229437E-3</c:v>
                </c:pt>
                <c:pt idx="10">
                  <c:v>1.1837853258036908E-2</c:v>
                </c:pt>
                <c:pt idx="11">
                  <c:v>2.1142860856433895E-2</c:v>
                </c:pt>
                <c:pt idx="12">
                  <c:v>3.628129431586017E-2</c:v>
                </c:pt>
                <c:pt idx="13">
                  <c:v>5.9817741667090328E-2</c:v>
                </c:pt>
                <c:pt idx="14">
                  <c:v>9.4755728415958196E-2</c:v>
                </c:pt>
                <c:pt idx="15">
                  <c:v>0.1442145758237286</c:v>
                </c:pt>
                <c:pt idx="16">
                  <c:v>0.21088275179883176</c:v>
                </c:pt>
                <c:pt idx="17">
                  <c:v>0.29627921403118901</c:v>
                </c:pt>
                <c:pt idx="18">
                  <c:v>0.39993510656169634</c:v>
                </c:pt>
                <c:pt idx="19">
                  <c:v>0.51868787241374548</c:v>
                </c:pt>
                <c:pt idx="20">
                  <c:v>0.64632488825264445</c:v>
                </c:pt>
                <c:pt idx="21">
                  <c:v>0.77379137843382961</c:v>
                </c:pt>
                <c:pt idx="22">
                  <c:v>0.89007194839405157</c:v>
                </c:pt>
                <c:pt idx="23">
                  <c:v>0.98368163236003436</c:v>
                </c:pt>
                <c:pt idx="24">
                  <c:v>1.044509107405281</c:v>
                </c:pt>
                <c:pt idx="25">
                  <c:v>1.0656095910450183</c:v>
                </c:pt>
                <c:pt idx="26">
                  <c:v>1.044509107405281</c:v>
                </c:pt>
                <c:pt idx="27">
                  <c:v>0.98368163236003436</c:v>
                </c:pt>
                <c:pt idx="28">
                  <c:v>0.89007194839405157</c:v>
                </c:pt>
                <c:pt idx="29">
                  <c:v>0.7737913784338234</c:v>
                </c:pt>
                <c:pt idx="30">
                  <c:v>0.64632488825263823</c:v>
                </c:pt>
                <c:pt idx="31">
                  <c:v>0.51868787241373937</c:v>
                </c:pt>
                <c:pt idx="32">
                  <c:v>0.3999351065616909</c:v>
                </c:pt>
                <c:pt idx="33">
                  <c:v>0.29627921403118429</c:v>
                </c:pt>
                <c:pt idx="34">
                  <c:v>0.21088275179882798</c:v>
                </c:pt>
                <c:pt idx="35">
                  <c:v>0.14421457582372577</c:v>
                </c:pt>
                <c:pt idx="36">
                  <c:v>9.4755728415956059E-2</c:v>
                </c:pt>
                <c:pt idx="37">
                  <c:v>5.9817741667088926E-2</c:v>
                </c:pt>
                <c:pt idx="38">
                  <c:v>3.6281294315859247E-2</c:v>
                </c:pt>
                <c:pt idx="39">
                  <c:v>2.1142860856433313E-2</c:v>
                </c:pt>
                <c:pt idx="40">
                  <c:v>1.1837853258036551E-2</c:v>
                </c:pt>
                <c:pt idx="41">
                  <c:v>6.3681073132227572E-3</c:v>
                </c:pt>
                <c:pt idx="42">
                  <c:v>3.2913647630255188E-3</c:v>
                </c:pt>
                <c:pt idx="43">
                  <c:v>1.6344433707353677E-3</c:v>
                </c:pt>
                <c:pt idx="44">
                  <c:v>7.7981567630894591E-4</c:v>
                </c:pt>
                <c:pt idx="45">
                  <c:v>3.5747219373006883E-4</c:v>
                </c:pt>
                <c:pt idx="46">
                  <c:v>1.5744206972442297E-4</c:v>
                </c:pt>
                <c:pt idx="47">
                  <c:v>6.6623514069003066E-5</c:v>
                </c:pt>
                <c:pt idx="48">
                  <c:v>2.7087099445757391E-5</c:v>
                </c:pt>
                <c:pt idx="49">
                  <c:v>1.0580975022637229E-5</c:v>
                </c:pt>
                <c:pt idx="50">
                  <c:v>3.9711573626653871E-6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1E-4CF6-8FC1-A1E8272E940F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Quecksilber!$I$63:$I$113</c:f>
              <c:numCache>
                <c:formatCode>General</c:formatCode>
                <c:ptCount val="51"/>
                <c:pt idx="0">
                  <c:v>-0.59118091378893978</c:v>
                </c:pt>
                <c:pt idx="1">
                  <c:v>-0.57246058565275293</c:v>
                </c:pt>
                <c:pt idx="2">
                  <c:v>-0.55288303069583611</c:v>
                </c:pt>
                <c:pt idx="3">
                  <c:v>-0.5324089954490816</c:v>
                </c:pt>
                <c:pt idx="4">
                  <c:v>-0.51099742897881351</c:v>
                </c:pt>
                <c:pt idx="5">
                  <c:v>-0.48860540057867763</c:v>
                </c:pt>
                <c:pt idx="6">
                  <c:v>-0.46518801369254181</c:v>
                </c:pt>
                <c:pt idx="7">
                  <c:v>-0.44069831589581854</c:v>
                </c:pt>
                <c:pt idx="8">
                  <c:v>-0.41508720475472405</c:v>
                </c:pt>
                <c:pt idx="9">
                  <c:v>-0.38830332937471612</c:v>
                </c:pt>
                <c:pt idx="10">
                  <c:v>-0.36029298744071347</c:v>
                </c:pt>
                <c:pt idx="11">
                  <c:v>-0.33100001754266173</c:v>
                </c:pt>
                <c:pt idx="12">
                  <c:v>-0.30036568657055329</c:v>
                </c:pt>
                <c:pt idx="13">
                  <c:v>-0.26832857195312754</c:v>
                </c:pt>
                <c:pt idx="14">
                  <c:v>-0.23482443850413692</c:v>
                </c:pt>
                <c:pt idx="15">
                  <c:v>-0.19978610962925092</c:v>
                </c:pt>
                <c:pt idx="16">
                  <c:v>-0.16314333263536762</c:v>
                </c:pt>
                <c:pt idx="17">
                  <c:v>-0.12482263787227232</c:v>
                </c:pt>
                <c:pt idx="18">
                  <c:v>-8.4747191424218937E-2</c:v>
                </c:pt>
                <c:pt idx="19">
                  <c:v>-4.2836641056080094E-2</c:v>
                </c:pt>
                <c:pt idx="20">
                  <c:v>9.9304489482032743E-4</c:v>
                </c:pt>
                <c:pt idx="21">
                  <c:v>4.6829746004213968E-2</c:v>
                </c:pt>
                <c:pt idx="22">
                  <c:v>9.4765365961552828E-2</c:v>
                </c:pt>
                <c:pt idx="23">
                  <c:v>0.14489601683912023</c:v>
                </c:pt>
                <c:pt idx="24">
                  <c:v>0.1973222117990503</c:v>
                </c:pt>
                <c:pt idx="25">
                  <c:v>0.25214906662463776</c:v>
                </c:pt>
                <c:pt idx="26">
                  <c:v>0.30948651048001485</c:v>
                </c:pt>
                <c:pt idx="27">
                  <c:v>0.36944950632077234</c:v>
                </c:pt>
                <c:pt idx="28">
                  <c:v>0.4321582813974536</c:v>
                </c:pt>
                <c:pt idx="29">
                  <c:v>0.49773856831409136</c:v>
                </c:pt>
                <c:pt idx="30">
                  <c:v>0.56632185712509187</c:v>
                </c:pt>
                <c:pt idx="31">
                  <c:v>0.63804565897597953</c:v>
                </c:pt>
                <c:pt idx="32">
                  <c:v>0.71305378181654433</c:v>
                </c:pt>
                <c:pt idx="33">
                  <c:v>0.79149661873924426</c:v>
                </c:pt>
                <c:pt idx="34">
                  <c:v>0.87353144952097894</c:v>
                </c:pt>
                <c:pt idx="35">
                  <c:v>0.95932275597282879</c:v>
                </c:pt>
                <c:pt idx="36">
                  <c:v>1.0490425517300475</c:v>
                </c:pt>
                <c:pt idx="37">
                  <c:v>1.1428707271435421</c:v>
                </c:pt>
                <c:pt idx="38">
                  <c:v>1.2409954099643583</c:v>
                </c:pt>
                <c:pt idx="39">
                  <c:v>1.3436133425443519</c:v>
                </c:pt>
                <c:pt idx="40">
                  <c:v>1.4509302763093412</c:v>
                </c:pt>
                <c:pt idx="41">
                  <c:v>1.5631613842956695</c:v>
                </c:pt>
                <c:pt idx="42">
                  <c:v>1.6805316925773277</c:v>
                </c:pt>
                <c:pt idx="43">
                  <c:v>1.8032765314486441</c:v>
                </c:pt>
                <c:pt idx="44">
                  <c:v>1.9316420072672007</c:v>
                </c:pt>
                <c:pt idx="45">
                  <c:v>2.0658854959029971</c:v>
                </c:pt>
                <c:pt idx="46">
                  <c:v>2.206276158783274</c:v>
                </c:pt>
                <c:pt idx="47">
                  <c:v>2.3530954825676522</c:v>
                </c:pt>
                <c:pt idx="48">
                  <c:v>2.5066378435356658</c:v>
                </c:pt>
                <c:pt idx="49">
                  <c:v>2.6672110978182877</c:v>
                </c:pt>
                <c:pt idx="50">
                  <c:v>2.8351371986568821</c:v>
                </c:pt>
              </c:numCache>
            </c:numRef>
          </c:xVal>
          <c:yVal>
            <c:numRef>
              <c:f>Quecksilber!$J$63:$J$113</c:f>
              <c:numCache>
                <c:formatCode>General</c:formatCode>
                <c:ptCount val="51"/>
                <c:pt idx="0">
                  <c:v>1.6244425385389561E-5</c:v>
                </c:pt>
                <c:pt idx="1">
                  <c:v>4.1387381573638025E-5</c:v>
                </c:pt>
                <c:pt idx="2">
                  <c:v>1.0131173881385377E-4</c:v>
                </c:pt>
                <c:pt idx="3">
                  <c:v>2.3827572963404104E-4</c:v>
                </c:pt>
                <c:pt idx="4">
                  <c:v>5.3842853455195855E-4</c:v>
                </c:pt>
                <c:pt idx="5">
                  <c:v>1.1689731822819602E-3</c:v>
                </c:pt>
                <c:pt idx="6">
                  <c:v>2.4384241396334183E-3</c:v>
                </c:pt>
                <c:pt idx="7">
                  <c:v>4.8869981073124446E-3</c:v>
                </c:pt>
                <c:pt idx="8">
                  <c:v>9.4102966281332159E-3</c:v>
                </c:pt>
                <c:pt idx="9">
                  <c:v>1.7409755682352184E-2</c:v>
                </c:pt>
                <c:pt idx="10">
                  <c:v>3.0946408959894912E-2</c:v>
                </c:pt>
                <c:pt idx="11">
                  <c:v>5.2851347570158982E-2</c:v>
                </c:pt>
                <c:pt idx="12">
                  <c:v>8.672216083510402E-2</c:v>
                </c:pt>
                <c:pt idx="13">
                  <c:v>0.13672009033161386</c:v>
                </c:pt>
                <c:pt idx="14">
                  <c:v>0.20709175258549481</c:v>
                </c:pt>
                <c:pt idx="15">
                  <c:v>0.30138490108960175</c:v>
                </c:pt>
                <c:pt idx="16">
                  <c:v>0.42141345652801387</c:v>
                </c:pt>
                <c:pt idx="17">
                  <c:v>0.56613959299161842</c:v>
                </c:pt>
                <c:pt idx="18">
                  <c:v>0.73074672572349775</c:v>
                </c:pt>
                <c:pt idx="19">
                  <c:v>0.90623002815393927</c:v>
                </c:pt>
                <c:pt idx="20">
                  <c:v>1.0797873610097837</c:v>
                </c:pt>
                <c:pt idx="21">
                  <c:v>1.2361359916002632</c:v>
                </c:pt>
                <c:pt idx="22">
                  <c:v>1.3596354648974849</c:v>
                </c:pt>
                <c:pt idx="23">
                  <c:v>1.4368351294549069</c:v>
                </c:pt>
                <c:pt idx="24">
                  <c:v>1.458880138249405</c:v>
                </c:pt>
                <c:pt idx="25">
                  <c:v>1.4231822103815277</c:v>
                </c:pt>
                <c:pt idx="26">
                  <c:v>1.3339195019566721</c:v>
                </c:pt>
                <c:pt idx="27">
                  <c:v>1.20123218050372</c:v>
                </c:pt>
                <c:pt idx="28">
                  <c:v>1.0393277311851232</c:v>
                </c:pt>
                <c:pt idx="29">
                  <c:v>0.86398517971675159</c:v>
                </c:pt>
                <c:pt idx="30">
                  <c:v>0.69006228408251968</c:v>
                </c:pt>
                <c:pt idx="31">
                  <c:v>0.52953968222468017</c:v>
                </c:pt>
                <c:pt idx="32">
                  <c:v>0.39042439891569208</c:v>
                </c:pt>
                <c:pt idx="33">
                  <c:v>0.27656907102573702</c:v>
                </c:pt>
                <c:pt idx="34">
                  <c:v>0.18823418251281857</c:v>
                </c:pt>
                <c:pt idx="35">
                  <c:v>0.12308966629653809</c:v>
                </c:pt>
                <c:pt idx="36">
                  <c:v>7.7334435017941835E-2</c:v>
                </c:pt>
                <c:pt idx="37">
                  <c:v>4.6682323141803823E-2</c:v>
                </c:pt>
                <c:pt idx="38">
                  <c:v>2.7074486268559312E-2</c:v>
                </c:pt>
                <c:pt idx="39">
                  <c:v>1.5086767921749426E-2</c:v>
                </c:pt>
                <c:pt idx="40">
                  <c:v>8.0771921651650799E-3</c:v>
                </c:pt>
                <c:pt idx="41">
                  <c:v>4.1548260099980062E-3</c:v>
                </c:pt>
                <c:pt idx="42">
                  <c:v>2.0533996744340316E-3</c:v>
                </c:pt>
                <c:pt idx="43">
                  <c:v>9.750398296315151E-4</c:v>
                </c:pt>
                <c:pt idx="44">
                  <c:v>4.4483550663575037E-4</c:v>
                </c:pt>
                <c:pt idx="45">
                  <c:v>1.9498659460250189E-4</c:v>
                </c:pt>
                <c:pt idx="46">
                  <c:v>8.2117985060582786E-5</c:v>
                </c:pt>
                <c:pt idx="47">
                  <c:v>3.3227681215437025E-5</c:v>
                </c:pt>
                <c:pt idx="48">
                  <c:v>1.2917843140513733E-5</c:v>
                </c:pt>
                <c:pt idx="49">
                  <c:v>4.8251208908822889E-6</c:v>
                </c:pt>
                <c:pt idx="50">
                  <c:v>1.7316280482493538E-6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1E-4CF6-8FC1-A1E8272E940F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Quecksilber!$T$46:$T$97</c:f>
              <c:numCache>
                <c:formatCode>0.0</c:formatCode>
                <c:ptCount val="52"/>
                <c:pt idx="0">
                  <c:v>-8.4000000000000003E-4</c:v>
                </c:pt>
                <c:pt idx="1">
                  <c:v>8.4000000000000003E-4</c:v>
                </c:pt>
                <c:pt idx="2">
                  <c:v>8.3160000000000012E-2</c:v>
                </c:pt>
                <c:pt idx="3">
                  <c:v>8.4839999999999999E-2</c:v>
                </c:pt>
                <c:pt idx="4">
                  <c:v>0.16716</c:v>
                </c:pt>
                <c:pt idx="5">
                  <c:v>0.16884000000000002</c:v>
                </c:pt>
                <c:pt idx="6">
                  <c:v>0.25115999999999999</c:v>
                </c:pt>
                <c:pt idx="7">
                  <c:v>0.25284000000000001</c:v>
                </c:pt>
                <c:pt idx="8">
                  <c:v>0.33516000000000001</c:v>
                </c:pt>
                <c:pt idx="9">
                  <c:v>0.33684000000000003</c:v>
                </c:pt>
                <c:pt idx="10">
                  <c:v>0.41916000000000003</c:v>
                </c:pt>
                <c:pt idx="11">
                  <c:v>0.42084000000000005</c:v>
                </c:pt>
                <c:pt idx="12">
                  <c:v>0.50316000000000005</c:v>
                </c:pt>
                <c:pt idx="13">
                  <c:v>0.50483999999999996</c:v>
                </c:pt>
                <c:pt idx="14">
                  <c:v>0.58716000000000013</c:v>
                </c:pt>
                <c:pt idx="15">
                  <c:v>0.58884000000000003</c:v>
                </c:pt>
                <c:pt idx="16">
                  <c:v>0.67116000000000009</c:v>
                </c:pt>
                <c:pt idx="17">
                  <c:v>0.67283999999999999</c:v>
                </c:pt>
                <c:pt idx="18">
                  <c:v>0.75516000000000005</c:v>
                </c:pt>
                <c:pt idx="19">
                  <c:v>0.75683999999999996</c:v>
                </c:pt>
                <c:pt idx="20">
                  <c:v>0.83916000000000013</c:v>
                </c:pt>
                <c:pt idx="21">
                  <c:v>0.84084000000000003</c:v>
                </c:pt>
                <c:pt idx="22">
                  <c:v>0.92316000000000009</c:v>
                </c:pt>
                <c:pt idx="23">
                  <c:v>0.92484</c:v>
                </c:pt>
                <c:pt idx="24">
                  <c:v>1.0071600000000001</c:v>
                </c:pt>
                <c:pt idx="25">
                  <c:v>1.00884</c:v>
                </c:pt>
                <c:pt idx="26">
                  <c:v>1.0911600000000001</c:v>
                </c:pt>
                <c:pt idx="27">
                  <c:v>1.09284</c:v>
                </c:pt>
                <c:pt idx="28">
                  <c:v>1.1751600000000002</c:v>
                </c:pt>
                <c:pt idx="29">
                  <c:v>1.1768400000000001</c:v>
                </c:pt>
                <c:pt idx="30">
                  <c:v>1.2591600000000001</c:v>
                </c:pt>
                <c:pt idx="31">
                  <c:v>1.26084</c:v>
                </c:pt>
                <c:pt idx="32">
                  <c:v>1.3431600000000001</c:v>
                </c:pt>
                <c:pt idx="33">
                  <c:v>1.34484</c:v>
                </c:pt>
                <c:pt idx="34">
                  <c:v>1.4271600000000002</c:v>
                </c:pt>
                <c:pt idx="35">
                  <c:v>1.4288400000000001</c:v>
                </c:pt>
                <c:pt idx="36">
                  <c:v>1.5111600000000001</c:v>
                </c:pt>
                <c:pt idx="37">
                  <c:v>1.51284</c:v>
                </c:pt>
                <c:pt idx="38">
                  <c:v>1.5951600000000001</c:v>
                </c:pt>
                <c:pt idx="39">
                  <c:v>1.59684</c:v>
                </c:pt>
                <c:pt idx="40">
                  <c:v>1.6791600000000002</c:v>
                </c:pt>
                <c:pt idx="41">
                  <c:v>1.6808400000000001</c:v>
                </c:pt>
                <c:pt idx="42">
                  <c:v>1.7631600000000001</c:v>
                </c:pt>
                <c:pt idx="43">
                  <c:v>1.76484</c:v>
                </c:pt>
                <c:pt idx="44">
                  <c:v>1.8471600000000001</c:v>
                </c:pt>
                <c:pt idx="45">
                  <c:v>1.84884</c:v>
                </c:pt>
                <c:pt idx="46">
                  <c:v>1.9311600000000002</c:v>
                </c:pt>
                <c:pt idx="47">
                  <c:v>1.9328400000000001</c:v>
                </c:pt>
                <c:pt idx="48">
                  <c:v>2.0151599999999998</c:v>
                </c:pt>
                <c:pt idx="49">
                  <c:v>2.0168400000000002</c:v>
                </c:pt>
                <c:pt idx="50">
                  <c:v>2.0991599999999999</c:v>
                </c:pt>
                <c:pt idx="51">
                  <c:v>2.1008400000000003</c:v>
                </c:pt>
              </c:numCache>
            </c:numRef>
          </c:xVal>
          <c:yVal>
            <c:numRef>
              <c:f>Quecksilber!$U$46:$U$97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7.1428571428571432</c:v>
                </c:pt>
                <c:pt idx="6">
                  <c:v>7.1428571428571432</c:v>
                </c:pt>
                <c:pt idx="7">
                  <c:v>1.4880952380952379</c:v>
                </c:pt>
                <c:pt idx="8">
                  <c:v>1.4880952380952379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2.3809523809523805</c:v>
                </c:pt>
                <c:pt idx="14">
                  <c:v>2.3809523809523805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0.29761904761904756</c:v>
                </c:pt>
                <c:pt idx="26">
                  <c:v>0.29761904761904756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0.29761904761904756</c:v>
                </c:pt>
                <c:pt idx="32">
                  <c:v>0.29761904761904756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0.29761904761904756</c:v>
                </c:pt>
                <c:pt idx="50">
                  <c:v>0.29761904761904756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1E-4CF6-8FC1-A1E8272E940F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Quecksilber!$U$3:$V$3</c:f>
              <c:numCache>
                <c:formatCode>0.000</c:formatCode>
                <c:ptCount val="2"/>
                <c:pt idx="0">
                  <c:v>1.0225201425249786</c:v>
                </c:pt>
                <c:pt idx="1">
                  <c:v>1.0225201425249786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1E-4CF6-8FC1-A1E8272E940F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Quecksilber!$U$4:$V$4</c:f>
              <c:numCache>
                <c:formatCode>0.000</c:formatCode>
                <c:ptCount val="2"/>
                <c:pt idx="0">
                  <c:v>0.80957624113210525</c:v>
                </c:pt>
                <c:pt idx="1">
                  <c:v>0.80957624113210525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1E-4CF6-8FC1-A1E8272E940F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Quecksilber!$U$5:$V$5</c:f>
              <c:numCache>
                <c:formatCode>0.000</c:formatCode>
                <c:ptCount val="2"/>
                <c:pt idx="0">
                  <c:v>1.1596867236144457</c:v>
                </c:pt>
                <c:pt idx="1">
                  <c:v>1.1596867236144457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1E-4CF6-8FC1-A1E8272E940F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Quecksilber!$U$6:$V$6</c:f>
              <c:numCache>
                <c:formatCode>0.000</c:formatCode>
                <c:ptCount val="2"/>
                <c:pt idx="0">
                  <c:v>0.98304111629515045</c:v>
                </c:pt>
                <c:pt idx="1">
                  <c:v>0.98304111629515045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1E-4CF6-8FC1-A1E8272E940F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Quecksilber!$U$7:$V$7</c:f>
              <c:numCache>
                <c:formatCode>0.000</c:formatCode>
                <c:ptCount val="2"/>
                <c:pt idx="0">
                  <c:v>-0.44502014252497901</c:v>
                </c:pt>
                <c:pt idx="1">
                  <c:v>-0.44502014252497901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1E-4CF6-8FC1-A1E8272E940F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Quecksilber!$U$8:$V$8</c:f>
              <c:numCache>
                <c:formatCode>0.000</c:formatCode>
                <c:ptCount val="2"/>
                <c:pt idx="0">
                  <c:v>-0.21391341029942518</c:v>
                </c:pt>
                <c:pt idx="1">
                  <c:v>-0.21391341029942518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1E-4CF6-8FC1-A1E8272E940F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Quecksilber!$U$11:$V$11</c:f>
              <c:numCache>
                <c:formatCode>0.000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xVal>
          <c:yVal>
            <c:numRef>
              <c:f>Quecksilber!$U$2:$V$2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1E-4CF6-8FC1-A1E8272E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58496"/>
        <c:axId val="157260032"/>
      </c:scatterChart>
      <c:valAx>
        <c:axId val="157258496"/>
        <c:scaling>
          <c:orientation val="minMax"/>
          <c:max val="2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7260032"/>
        <c:crosses val="autoZero"/>
        <c:crossBetween val="midCat"/>
        <c:majorUnit val="1"/>
        <c:minorUnit val="0.5"/>
      </c:valAx>
      <c:valAx>
        <c:axId val="157260032"/>
        <c:scaling>
          <c:orientation val="minMax"/>
          <c:max val="5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7258496"/>
        <c:crosses val="autoZero"/>
        <c:crossBetween val="midCat"/>
        <c:majorUnit val="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Quecksilber!$M$3:$M$252</c:f>
              <c:numCache>
                <c:formatCode>d/m/yyyy;@</c:formatCode>
                <c:ptCount val="250"/>
                <c:pt idx="0">
                  <c:v>35815</c:v>
                </c:pt>
                <c:pt idx="1">
                  <c:v>36187</c:v>
                </c:pt>
                <c:pt idx="2">
                  <c:v>36347</c:v>
                </c:pt>
                <c:pt idx="3">
                  <c:v>36550</c:v>
                </c:pt>
                <c:pt idx="4">
                  <c:v>36712</c:v>
                </c:pt>
                <c:pt idx="5">
                  <c:v>36914</c:v>
                </c:pt>
                <c:pt idx="6">
                  <c:v>37089</c:v>
                </c:pt>
                <c:pt idx="7">
                  <c:v>37328</c:v>
                </c:pt>
                <c:pt idx="8">
                  <c:v>37467</c:v>
                </c:pt>
                <c:pt idx="9">
                  <c:v>37649</c:v>
                </c:pt>
                <c:pt idx="10">
                  <c:v>37825</c:v>
                </c:pt>
                <c:pt idx="11">
                  <c:v>38012</c:v>
                </c:pt>
                <c:pt idx="12">
                  <c:v>38187</c:v>
                </c:pt>
                <c:pt idx="13">
                  <c:v>38378</c:v>
                </c:pt>
                <c:pt idx="14">
                  <c:v>38545</c:v>
                </c:pt>
                <c:pt idx="15">
                  <c:v>38755</c:v>
                </c:pt>
                <c:pt idx="16">
                  <c:v>38911</c:v>
                </c:pt>
                <c:pt idx="17">
                  <c:v>39105</c:v>
                </c:pt>
                <c:pt idx="18">
                  <c:v>39274</c:v>
                </c:pt>
                <c:pt idx="19">
                  <c:v>39457</c:v>
                </c:pt>
                <c:pt idx="20">
                  <c:v>39664</c:v>
                </c:pt>
                <c:pt idx="21">
                  <c:v>39881</c:v>
                </c:pt>
                <c:pt idx="22">
                  <c:v>40001</c:v>
                </c:pt>
                <c:pt idx="23">
                  <c:v>40206</c:v>
                </c:pt>
                <c:pt idx="24">
                  <c:v>40365</c:v>
                </c:pt>
                <c:pt idx="25">
                  <c:v>40577</c:v>
                </c:pt>
                <c:pt idx="26">
                  <c:v>40764</c:v>
                </c:pt>
                <c:pt idx="27">
                  <c:v>40940</c:v>
                </c:pt>
                <c:pt idx="28">
                  <c:v>41094</c:v>
                </c:pt>
                <c:pt idx="29">
                  <c:v>41303</c:v>
                </c:pt>
                <c:pt idx="30">
                  <c:v>41470</c:v>
                </c:pt>
                <c:pt idx="31">
                  <c:v>41640</c:v>
                </c:pt>
                <c:pt idx="32">
                  <c:v>41820</c:v>
                </c:pt>
                <c:pt idx="33">
                  <c:v>42016</c:v>
                </c:pt>
                <c:pt idx="34">
                  <c:v>42114</c:v>
                </c:pt>
                <c:pt idx="35">
                  <c:v>42206</c:v>
                </c:pt>
                <c:pt idx="36">
                  <c:v>42395</c:v>
                </c:pt>
                <c:pt idx="37">
                  <c:v>42467</c:v>
                </c:pt>
                <c:pt idx="38">
                  <c:v>42556</c:v>
                </c:pt>
                <c:pt idx="39">
                  <c:v>42660</c:v>
                </c:pt>
              </c:numCache>
            </c:numRef>
          </c:xVal>
          <c:yVal>
            <c:numRef>
              <c:f>Quecksilber!$N$3:$N$252</c:f>
              <c:numCache>
                <c:formatCode>General</c:formatCode>
                <c:ptCount val="250"/>
                <c:pt idx="0">
                  <c:v>0.5</c:v>
                </c:pt>
                <c:pt idx="1">
                  <c:v>0.5</c:v>
                </c:pt>
                <c:pt idx="2">
                  <c:v>2</c:v>
                </c:pt>
                <c:pt idx="3">
                  <c:v>1.2</c:v>
                </c:pt>
                <c:pt idx="4">
                  <c:v>0.5</c:v>
                </c:pt>
                <c:pt idx="5">
                  <c:v>0.1</c:v>
                </c:pt>
                <c:pt idx="6">
                  <c:v>0.1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0.97</c:v>
                </c:pt>
                <c:pt idx="12">
                  <c:v>0.48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11-4B2D-B5FF-8B23A03376F3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Quecksilber!$E$57:$E$58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Quecksilber!$F$57:$F$58</c:f>
              <c:numCache>
                <c:formatCode>0.000</c:formatCode>
                <c:ptCount val="2"/>
                <c:pt idx="0">
                  <c:v>1.0225201425249786</c:v>
                </c:pt>
                <c:pt idx="1">
                  <c:v>1.0225201425249786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11-4B2D-B5FF-8B23A03376F3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Quecksilber!$E$57:$E$58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Quecksilber!$J$57:$J$58</c:f>
              <c:numCache>
                <c:formatCode>0.000</c:formatCode>
                <c:ptCount val="2"/>
                <c:pt idx="0">
                  <c:v>0.80957624113210525</c:v>
                </c:pt>
                <c:pt idx="1">
                  <c:v>0.80957624113210525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11-4B2D-B5FF-8B23A03376F3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Quecksilber!$G$122:$G$123</c:f>
              <c:numCache>
                <c:formatCode>d/m/yyyy;@</c:formatCode>
                <c:ptCount val="2"/>
                <c:pt idx="0">
                  <c:v>0.1</c:v>
                </c:pt>
                <c:pt idx="1">
                  <c:v>42660</c:v>
                </c:pt>
              </c:numCache>
            </c:numRef>
          </c:xVal>
          <c:yVal>
            <c:numRef>
              <c:f>Quecksilber!$I$122:$I$123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11-4B2D-B5FF-8B23A03376F3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Quecksilber!$G$122:$G$123</c:f>
              <c:numCache>
                <c:formatCode>d/m/yyyy;@</c:formatCode>
                <c:ptCount val="2"/>
                <c:pt idx="0">
                  <c:v>0.1</c:v>
                </c:pt>
                <c:pt idx="1">
                  <c:v>42660</c:v>
                </c:pt>
              </c:numCache>
            </c:numRef>
          </c:xVal>
          <c:yVal>
            <c:numRef>
              <c:f>Quecksilber!$J$122:$J$123</c:f>
              <c:numCache>
                <c:formatCode>General</c:formatCode>
                <c:ptCount val="2"/>
                <c:pt idx="0">
                  <c:v>4.6261921247769839</c:v>
                </c:pt>
                <c:pt idx="1">
                  <c:v>-5.6331743341759832E-2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11-4B2D-B5FF-8B23A03376F3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Quecksilber!$E$57:$E$58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Quecksilber!$G$57:$G$58</c:f>
              <c:numCache>
                <c:formatCode>0.000</c:formatCode>
                <c:ptCount val="2"/>
                <c:pt idx="0">
                  <c:v>-0.44502014252497901</c:v>
                </c:pt>
                <c:pt idx="1">
                  <c:v>-0.44502014252497901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11-4B2D-B5FF-8B23A03376F3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Quecksilber!$E$57:$E$58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Quecksilber!$H$57:$H$58</c:f>
              <c:numCache>
                <c:formatCode>0.000</c:formatCode>
                <c:ptCount val="2"/>
                <c:pt idx="0">
                  <c:v>1.1596867236144457</c:v>
                </c:pt>
                <c:pt idx="1">
                  <c:v>1.1596867236144457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211-4B2D-B5FF-8B23A03376F3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Quecksilber!$E$57:$E$58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Quecksilber!$K$57:$K$58</c:f>
              <c:numCache>
                <c:formatCode>0.000</c:formatCode>
                <c:ptCount val="2"/>
                <c:pt idx="0">
                  <c:v>0.98304111629515045</c:v>
                </c:pt>
                <c:pt idx="1">
                  <c:v>0.98304111629515045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11-4B2D-B5FF-8B23A0337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41728"/>
        <c:axId val="157647616"/>
      </c:scatterChart>
      <c:valAx>
        <c:axId val="157641728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647616"/>
        <c:crossesAt val="0"/>
        <c:crossBetween val="midCat"/>
        <c:majorUnit val="1461"/>
        <c:minorUnit val="365.25"/>
      </c:valAx>
      <c:valAx>
        <c:axId val="157647616"/>
        <c:scaling>
          <c:orientation val="minMax"/>
          <c:max val="5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641728"/>
        <c:crossesAt val="0"/>
        <c:crossBetween val="midCat"/>
        <c:majorUnit val="1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Zink!$F$63:$F$113</c:f>
              <c:numCache>
                <c:formatCode>General</c:formatCode>
                <c:ptCount val="51"/>
                <c:pt idx="0">
                  <c:v>-50.057696580521252</c:v>
                </c:pt>
                <c:pt idx="1">
                  <c:v>-47.331188717300407</c:v>
                </c:pt>
                <c:pt idx="2">
                  <c:v>-44.604680854079547</c:v>
                </c:pt>
                <c:pt idx="3">
                  <c:v>-41.878172990858715</c:v>
                </c:pt>
                <c:pt idx="4">
                  <c:v>-39.151665127637855</c:v>
                </c:pt>
                <c:pt idx="5">
                  <c:v>-36.42515726441701</c:v>
                </c:pt>
                <c:pt idx="6">
                  <c:v>-33.69864940119615</c:v>
                </c:pt>
                <c:pt idx="7">
                  <c:v>-30.972141537975308</c:v>
                </c:pt>
                <c:pt idx="8">
                  <c:v>-28.245633674754455</c:v>
                </c:pt>
                <c:pt idx="9">
                  <c:v>-25.519125811533609</c:v>
                </c:pt>
                <c:pt idx="10">
                  <c:v>-22.792617948312756</c:v>
                </c:pt>
                <c:pt idx="11">
                  <c:v>-20.066110085091903</c:v>
                </c:pt>
                <c:pt idx="12">
                  <c:v>-17.339602221871058</c:v>
                </c:pt>
                <c:pt idx="13">
                  <c:v>-14.613094358650205</c:v>
                </c:pt>
                <c:pt idx="14">
                  <c:v>-11.886586495429356</c:v>
                </c:pt>
                <c:pt idx="15">
                  <c:v>-9.1600786322085028</c:v>
                </c:pt>
                <c:pt idx="16">
                  <c:v>-6.4335707689876536</c:v>
                </c:pt>
                <c:pt idx="17">
                  <c:v>-3.7070629057668043</c:v>
                </c:pt>
                <c:pt idx="18">
                  <c:v>-0.98055504254595149</c:v>
                </c:pt>
                <c:pt idx="19">
                  <c:v>1.7459528206748978</c:v>
                </c:pt>
                <c:pt idx="20">
                  <c:v>4.4724606838957488</c:v>
                </c:pt>
                <c:pt idx="21">
                  <c:v>7.1989685471165981</c:v>
                </c:pt>
                <c:pt idx="22">
                  <c:v>9.9254764103374491</c:v>
                </c:pt>
                <c:pt idx="23">
                  <c:v>12.651984273558298</c:v>
                </c:pt>
                <c:pt idx="24">
                  <c:v>15.378492136779149</c:v>
                </c:pt>
                <c:pt idx="25">
                  <c:v>18.105</c:v>
                </c:pt>
                <c:pt idx="26">
                  <c:v>20.83150786322085</c:v>
                </c:pt>
                <c:pt idx="27">
                  <c:v>23.558015726441702</c:v>
                </c:pt>
                <c:pt idx="28">
                  <c:v>26.284523589662552</c:v>
                </c:pt>
                <c:pt idx="29">
                  <c:v>29.011031452883536</c:v>
                </c:pt>
                <c:pt idx="30">
                  <c:v>31.737539316104389</c:v>
                </c:pt>
                <c:pt idx="31">
                  <c:v>34.464047179325235</c:v>
                </c:pt>
                <c:pt idx="32">
                  <c:v>37.190555042546087</c:v>
                </c:pt>
                <c:pt idx="33">
                  <c:v>39.91706290576694</c:v>
                </c:pt>
                <c:pt idx="34">
                  <c:v>42.643570768987786</c:v>
                </c:pt>
                <c:pt idx="35">
                  <c:v>45.370078632208646</c:v>
                </c:pt>
                <c:pt idx="36">
                  <c:v>48.096586495429491</c:v>
                </c:pt>
                <c:pt idx="37">
                  <c:v>50.823094358650337</c:v>
                </c:pt>
                <c:pt idx="38">
                  <c:v>53.549602221871183</c:v>
                </c:pt>
                <c:pt idx="39">
                  <c:v>56.276110085092043</c:v>
                </c:pt>
                <c:pt idx="40">
                  <c:v>59.002617948312889</c:v>
                </c:pt>
                <c:pt idx="41">
                  <c:v>61.729125811533734</c:v>
                </c:pt>
                <c:pt idx="42">
                  <c:v>64.455633674754594</c:v>
                </c:pt>
                <c:pt idx="43">
                  <c:v>67.18214153797544</c:v>
                </c:pt>
                <c:pt idx="44">
                  <c:v>69.9086494011963</c:v>
                </c:pt>
                <c:pt idx="45">
                  <c:v>72.635157264417145</c:v>
                </c:pt>
                <c:pt idx="46">
                  <c:v>75.361665127637991</c:v>
                </c:pt>
                <c:pt idx="47">
                  <c:v>78.088172990858851</c:v>
                </c:pt>
                <c:pt idx="48">
                  <c:v>80.814680854079697</c:v>
                </c:pt>
                <c:pt idx="49">
                  <c:v>83.541188717300543</c:v>
                </c:pt>
                <c:pt idx="50">
                  <c:v>86.26769658052126</c:v>
                </c:pt>
              </c:numCache>
            </c:numRef>
          </c:xVal>
          <c:yVal>
            <c:numRef>
              <c:f>Zink!$G$63:$G$113</c:f>
              <c:numCache>
                <c:formatCode>General</c:formatCode>
                <c:ptCount val="51"/>
                <c:pt idx="0">
                  <c:v>1.0905668271046332E-7</c:v>
                </c:pt>
                <c:pt idx="1">
                  <c:v>2.9057675897201E-7</c:v>
                </c:pt>
                <c:pt idx="2">
                  <c:v>7.4387110356669001E-7</c:v>
                </c:pt>
                <c:pt idx="3">
                  <c:v>1.829627680632372E-6</c:v>
                </c:pt>
                <c:pt idx="4">
                  <c:v>4.3237042189865414E-6</c:v>
                </c:pt>
                <c:pt idx="5">
                  <c:v>9.8169697267470888E-6</c:v>
                </c:pt>
                <c:pt idx="6">
                  <c:v>2.1415447190134306E-5</c:v>
                </c:pt>
                <c:pt idx="7">
                  <c:v>4.4885396324581011E-5</c:v>
                </c:pt>
                <c:pt idx="8">
                  <c:v>9.0388088374510498E-5</c:v>
                </c:pt>
                <c:pt idx="9">
                  <c:v>1.7488218050825598E-4</c:v>
                </c:pt>
                <c:pt idx="10">
                  <c:v>3.250933893660311E-4</c:v>
                </c:pt>
                <c:pt idx="11">
                  <c:v>5.8062928699052915E-4</c:v>
                </c:pt>
                <c:pt idx="12">
                  <c:v>9.963638408612488E-4</c:v>
                </c:pt>
                <c:pt idx="13">
                  <c:v>1.6427262577844192E-3</c:v>
                </c:pt>
                <c:pt idx="14">
                  <c:v>2.6021999294236361E-3</c:v>
                </c:pt>
                <c:pt idx="15">
                  <c:v>3.9604482526162969E-3</c:v>
                </c:pt>
                <c:pt idx="16">
                  <c:v>5.791302447052513E-3</c:v>
                </c:pt>
                <c:pt idx="17">
                  <c:v>8.136476419211473E-3</c:v>
                </c:pt>
                <c:pt idx="18">
                  <c:v>1.098309435710707E-2</c:v>
                </c:pt>
                <c:pt idx="19">
                  <c:v>1.4244305516421222E-2</c:v>
                </c:pt>
                <c:pt idx="20">
                  <c:v>1.7749497647389947E-2</c:v>
                </c:pt>
                <c:pt idx="21">
                  <c:v>2.125000677014496E-2</c:v>
                </c:pt>
                <c:pt idx="22">
                  <c:v>2.4443326013236445E-2</c:v>
                </c:pt>
                <c:pt idx="23">
                  <c:v>2.7014053050870884E-2</c:v>
                </c:pt>
                <c:pt idx="24">
                  <c:v>2.8684508799729874E-2</c:v>
                </c:pt>
                <c:pt idx="25">
                  <c:v>2.9263974315493688E-2</c:v>
                </c:pt>
                <c:pt idx="26">
                  <c:v>2.8684508799729877E-2</c:v>
                </c:pt>
                <c:pt idx="27">
                  <c:v>2.7014053050870884E-2</c:v>
                </c:pt>
                <c:pt idx="28">
                  <c:v>2.4443326013236445E-2</c:v>
                </c:pt>
                <c:pt idx="29">
                  <c:v>2.12500067701448E-2</c:v>
                </c:pt>
                <c:pt idx="30">
                  <c:v>1.7749497647389766E-2</c:v>
                </c:pt>
                <c:pt idx="31">
                  <c:v>1.4244305516421052E-2</c:v>
                </c:pt>
                <c:pt idx="32">
                  <c:v>1.0983094357106916E-2</c:v>
                </c:pt>
                <c:pt idx="33">
                  <c:v>8.1364764192113428E-3</c:v>
                </c:pt>
                <c:pt idx="34">
                  <c:v>5.7913024470524115E-3</c:v>
                </c:pt>
                <c:pt idx="35">
                  <c:v>3.9604482526162162E-3</c:v>
                </c:pt>
                <c:pt idx="36">
                  <c:v>2.6021999294235801E-3</c:v>
                </c:pt>
                <c:pt idx="37">
                  <c:v>1.6427262577843804E-3</c:v>
                </c:pt>
                <c:pt idx="38">
                  <c:v>9.9636384086122581E-4</c:v>
                </c:pt>
                <c:pt idx="39">
                  <c:v>5.8062928699051267E-4</c:v>
                </c:pt>
                <c:pt idx="40">
                  <c:v>3.2509338936602189E-4</c:v>
                </c:pt>
                <c:pt idx="41">
                  <c:v>1.7488218050825102E-4</c:v>
                </c:pt>
                <c:pt idx="42">
                  <c:v>9.0388088374507435E-5</c:v>
                </c:pt>
                <c:pt idx="43">
                  <c:v>4.4885396324579493E-5</c:v>
                </c:pt>
                <c:pt idx="44">
                  <c:v>2.1415447190133489E-5</c:v>
                </c:pt>
                <c:pt idx="45">
                  <c:v>9.8169697267467382E-6</c:v>
                </c:pt>
                <c:pt idx="46">
                  <c:v>4.3237042189863644E-6</c:v>
                </c:pt>
                <c:pt idx="47">
                  <c:v>1.8296276806323004E-6</c:v>
                </c:pt>
                <c:pt idx="48">
                  <c:v>7.4387110356665295E-7</c:v>
                </c:pt>
                <c:pt idx="49">
                  <c:v>2.9057675897199656E-7</c:v>
                </c:pt>
                <c:pt idx="50">
                  <c:v>1.0905668271046332E-7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2A-45A3-B4DF-A62132935000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Zink!$I$63:$I$113</c:f>
              <c:numCache>
                <c:formatCode>General</c:formatCode>
                <c:ptCount val="51"/>
                <c:pt idx="0">
                  <c:v>0.19038707910517511</c:v>
                </c:pt>
                <c:pt idx="1">
                  <c:v>0.22558591566625039</c:v>
                </c:pt>
                <c:pt idx="2">
                  <c:v>0.26729232669654074</c:v>
                </c:pt>
                <c:pt idx="3">
                  <c:v>0.31670943507196542</c:v>
                </c:pt>
                <c:pt idx="4">
                  <c:v>0.37526279748943409</c:v>
                </c:pt>
                <c:pt idx="5">
                  <c:v>0.44464152811739616</c:v>
                </c:pt>
                <c:pt idx="6">
                  <c:v>0.5268470252027575</c:v>
                </c:pt>
                <c:pt idx="7">
                  <c:v>0.62425070627166068</c:v>
                </c:pt>
                <c:pt idx="8">
                  <c:v>0.73966241743643724</c:v>
                </c:pt>
                <c:pt idx="9">
                  <c:v>0.87641149024159459</c:v>
                </c:pt>
                <c:pt idx="10">
                  <c:v>1.0384427843307311</c:v>
                </c:pt>
                <c:pt idx="11">
                  <c:v>1.2304304865187188</c:v>
                </c:pt>
                <c:pt idx="12">
                  <c:v>1.4579129490802196</c:v>
                </c:pt>
                <c:pt idx="13">
                  <c:v>1.7274524569929444</c:v>
                </c:pt>
                <c:pt idx="14">
                  <c:v>2.0468245330104153</c:v>
                </c:pt>
                <c:pt idx="15">
                  <c:v>2.4252422415295563</c:v>
                </c:pt>
                <c:pt idx="16">
                  <c:v>2.8736219618437486</c:v>
                </c:pt>
                <c:pt idx="17">
                  <c:v>3.404898297657363</c:v>
                </c:pt>
                <c:pt idx="18">
                  <c:v>4.0343972071926952</c:v>
                </c:pt>
                <c:pt idx="19">
                  <c:v>4.7802781177348743</c:v>
                </c:pt>
                <c:pt idx="20">
                  <c:v>5.6640577784842367</c:v>
                </c:pt>
                <c:pt idx="21">
                  <c:v>6.7112309635259413</c:v>
                </c:pt>
                <c:pt idx="22">
                  <c:v>7.9520059306038178</c:v>
                </c:pt>
                <c:pt idx="23">
                  <c:v>9.4221758517957852</c:v>
                </c:pt>
                <c:pt idx="24">
                  <c:v>11.164151354628395</c:v>
                </c:pt>
                <c:pt idx="25">
                  <c:v>13.228183959790567</c:v>
                </c:pt>
                <c:pt idx="26">
                  <c:v>15.673815708483369</c:v>
                </c:pt>
                <c:pt idx="27">
                  <c:v>18.571596797432921</c:v>
                </c:pt>
                <c:pt idx="28">
                  <c:v>22.005120770926457</c:v>
                </c:pt>
                <c:pt idx="29">
                  <c:v>26.073435979936608</c:v>
                </c:pt>
                <c:pt idx="30">
                  <c:v>30.893902872736891</c:v>
                </c:pt>
                <c:pt idx="31">
                  <c:v>36.605579542509567</c:v>
                </c:pt>
                <c:pt idx="32">
                  <c:v>43.373233196297946</c:v>
                </c:pt>
                <c:pt idx="33">
                  <c:v>51.392093265885478</c:v>
                </c:pt>
                <c:pt idx="34">
                  <c:v>60.893483275646204</c:v>
                </c:pt>
                <c:pt idx="35">
                  <c:v>72.151493932293647</c:v>
                </c:pt>
                <c:pt idx="36">
                  <c:v>85.490889938034314</c:v>
                </c:pt>
                <c:pt idx="37">
                  <c:v>101.29647861838468</c:v>
                </c:pt>
                <c:pt idx="38">
                  <c:v>120.02421062550933</c:v>
                </c:pt>
                <c:pt idx="39">
                  <c:v>142.21433294387069</c:v>
                </c:pt>
                <c:pt idx="40">
                  <c:v>168.5069736286323</c:v>
                </c:pt>
                <c:pt idx="41">
                  <c:v>199.66060785650458</c:v>
                </c:pt>
                <c:pt idx="42">
                  <c:v>236.57393798718874</c:v>
                </c:pt>
                <c:pt idx="43">
                  <c:v>280.31181881901176</c:v>
                </c:pt>
                <c:pt idx="44">
                  <c:v>332.13597591581521</c:v>
                </c:pt>
                <c:pt idx="45">
                  <c:v>393.54140314995874</c:v>
                </c:pt>
                <c:pt idx="46">
                  <c:v>466.29948943710224</c:v>
                </c:pt>
                <c:pt idx="47">
                  <c:v>552.50911875833526</c:v>
                </c:pt>
                <c:pt idx="48">
                  <c:v>654.65721757409017</c:v>
                </c:pt>
                <c:pt idx="49">
                  <c:v>775.69049626727758</c:v>
                </c:pt>
                <c:pt idx="50">
                  <c:v>919.10045417207084</c:v>
                </c:pt>
              </c:numCache>
            </c:numRef>
          </c:xVal>
          <c:yVal>
            <c:numRef>
              <c:f>Zink!$J$63:$J$113</c:f>
              <c:numCache>
                <c:formatCode>General</c:formatCode>
                <c:ptCount val="51"/>
                <c:pt idx="0">
                  <c:v>9.2063741489742381E-6</c:v>
                </c:pt>
                <c:pt idx="1">
                  <c:v>2.0702495685579218E-5</c:v>
                </c:pt>
                <c:pt idx="2">
                  <c:v>4.4728569162713273E-5</c:v>
                </c:pt>
                <c:pt idx="3">
                  <c:v>9.2848636221296447E-5</c:v>
                </c:pt>
                <c:pt idx="4">
                  <c:v>1.8518008255101608E-4</c:v>
                </c:pt>
                <c:pt idx="5">
                  <c:v>3.5484708205600618E-4</c:v>
                </c:pt>
                <c:pt idx="6">
                  <c:v>6.5330566488669504E-4</c:v>
                </c:pt>
                <c:pt idx="7">
                  <c:v>1.1556327218535899E-3</c:v>
                </c:pt>
                <c:pt idx="8">
                  <c:v>1.9640451062736854E-3</c:v>
                </c:pt>
                <c:pt idx="9">
                  <c:v>3.2070911653581309E-3</c:v>
                </c:pt>
                <c:pt idx="10">
                  <c:v>5.0315219776422499E-3</c:v>
                </c:pt>
                <c:pt idx="11">
                  <c:v>7.5843027937051175E-3</c:v>
                </c:pt>
                <c:pt idx="12">
                  <c:v>1.098399112619162E-2</c:v>
                </c:pt>
                <c:pt idx="13">
                  <c:v>1.5283854834634113E-2</c:v>
                </c:pt>
                <c:pt idx="14">
                  <c:v>2.0433080952473492E-2</c:v>
                </c:pt>
                <c:pt idx="15">
                  <c:v>2.6245994157360824E-2</c:v>
                </c:pt>
                <c:pt idx="16">
                  <c:v>3.2390706491081701E-2</c:v>
                </c:pt>
                <c:pt idx="17">
                  <c:v>3.8406615217744119E-2</c:v>
                </c:pt>
                <c:pt idx="18">
                  <c:v>4.3754212205259033E-2</c:v>
                </c:pt>
                <c:pt idx="19">
                  <c:v>4.7891884215779668E-2</c:v>
                </c:pt>
                <c:pt idx="20">
                  <c:v>5.036538982361153E-2</c:v>
                </c:pt>
                <c:pt idx="21">
                  <c:v>5.0889794396099919E-2</c:v>
                </c:pt>
                <c:pt idx="22">
                  <c:v>4.9403465399642306E-2</c:v>
                </c:pt>
                <c:pt idx="23">
                  <c:v>4.6079987384704708E-2</c:v>
                </c:pt>
                <c:pt idx="24">
                  <c:v>4.1294813613366482E-2</c:v>
                </c:pt>
                <c:pt idx="25">
                  <c:v>3.5555508136895779E-2</c:v>
                </c:pt>
                <c:pt idx="26">
                  <c:v>2.9413485389602166E-2</c:v>
                </c:pt>
                <c:pt idx="27">
                  <c:v>2.3378374467360463E-2</c:v>
                </c:pt>
                <c:pt idx="28">
                  <c:v>1.7852964950293978E-2</c:v>
                </c:pt>
                <c:pt idx="29">
                  <c:v>1.3098893607324339E-2</c:v>
                </c:pt>
                <c:pt idx="30">
                  <c:v>9.2339410521213479E-3</c:v>
                </c:pt>
                <c:pt idx="31">
                  <c:v>6.2541429201501981E-3</c:v>
                </c:pt>
                <c:pt idx="32">
                  <c:v>4.0698342852355717E-3</c:v>
                </c:pt>
                <c:pt idx="33">
                  <c:v>2.5445668869161033E-3</c:v>
                </c:pt>
                <c:pt idx="34">
                  <c:v>1.5285485494575331E-3</c:v>
                </c:pt>
                <c:pt idx="35">
                  <c:v>8.8221172192358692E-4</c:v>
                </c:pt>
                <c:pt idx="36">
                  <c:v>4.8920921759995552E-4</c:v>
                </c:pt>
                <c:pt idx="37">
                  <c:v>2.6064215604055299E-4</c:v>
                </c:pt>
                <c:pt idx="38">
                  <c:v>1.3342060582611441E-4</c:v>
                </c:pt>
                <c:pt idx="39">
                  <c:v>6.5618965284228791E-5</c:v>
                </c:pt>
                <c:pt idx="40">
                  <c:v>3.1007308358638201E-5</c:v>
                </c:pt>
                <c:pt idx="41">
                  <c:v>1.4077546781747503E-5</c:v>
                </c:pt>
                <c:pt idx="42">
                  <c:v>6.1407032559064929E-6</c:v>
                </c:pt>
                <c:pt idx="43">
                  <c:v>2.5735787589944836E-6</c:v>
                </c:pt>
                <c:pt idx="44">
                  <c:v>1.0362988988006888E-6</c:v>
                </c:pt>
                <c:pt idx="45">
                  <c:v>4.0092286999661277E-7</c:v>
                </c:pt>
                <c:pt idx="46">
                  <c:v>1.4902696098016934E-7</c:v>
                </c:pt>
                <c:pt idx="47">
                  <c:v>5.3222721809429661E-8</c:v>
                </c:pt>
                <c:pt idx="48">
                  <c:v>1.8262386788632774E-8</c:v>
                </c:pt>
                <c:pt idx="49">
                  <c:v>6.0206892675381662E-9</c:v>
                </c:pt>
                <c:pt idx="50">
                  <c:v>1.9070545286059112E-9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2A-45A3-B4DF-A62132935000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Zink!$T$46:$T$97</c:f>
              <c:numCache>
                <c:formatCode>0.0</c:formatCode>
                <c:ptCount val="52"/>
                <c:pt idx="0">
                  <c:v>-2.1000000000000001E-2</c:v>
                </c:pt>
                <c:pt idx="1">
                  <c:v>2.1000000000000001E-2</c:v>
                </c:pt>
                <c:pt idx="2">
                  <c:v>2.0790000000000002</c:v>
                </c:pt>
                <c:pt idx="3">
                  <c:v>2.121</c:v>
                </c:pt>
                <c:pt idx="4">
                  <c:v>4.1790000000000003</c:v>
                </c:pt>
                <c:pt idx="5">
                  <c:v>4.2210000000000001</c:v>
                </c:pt>
                <c:pt idx="6">
                  <c:v>6.2790000000000008</c:v>
                </c:pt>
                <c:pt idx="7">
                  <c:v>6.3210000000000006</c:v>
                </c:pt>
                <c:pt idx="8">
                  <c:v>8.3789999999999996</c:v>
                </c:pt>
                <c:pt idx="9">
                  <c:v>8.4210000000000012</c:v>
                </c:pt>
                <c:pt idx="10">
                  <c:v>10.478999999999999</c:v>
                </c:pt>
                <c:pt idx="11">
                  <c:v>10.521000000000001</c:v>
                </c:pt>
                <c:pt idx="12">
                  <c:v>12.579000000000001</c:v>
                </c:pt>
                <c:pt idx="13">
                  <c:v>12.621000000000002</c:v>
                </c:pt>
                <c:pt idx="14">
                  <c:v>14.679</c:v>
                </c:pt>
                <c:pt idx="15">
                  <c:v>14.721000000000002</c:v>
                </c:pt>
                <c:pt idx="16">
                  <c:v>16.779</c:v>
                </c:pt>
                <c:pt idx="17">
                  <c:v>16.821000000000002</c:v>
                </c:pt>
                <c:pt idx="18">
                  <c:v>18.879000000000001</c:v>
                </c:pt>
                <c:pt idx="19">
                  <c:v>18.921000000000003</c:v>
                </c:pt>
                <c:pt idx="20">
                  <c:v>20.978999999999999</c:v>
                </c:pt>
                <c:pt idx="21">
                  <c:v>21.021000000000001</c:v>
                </c:pt>
                <c:pt idx="22">
                  <c:v>23.079000000000001</c:v>
                </c:pt>
                <c:pt idx="23">
                  <c:v>23.121000000000002</c:v>
                </c:pt>
                <c:pt idx="24">
                  <c:v>25.179000000000002</c:v>
                </c:pt>
                <c:pt idx="25">
                  <c:v>25.221000000000004</c:v>
                </c:pt>
                <c:pt idx="26">
                  <c:v>27.279</c:v>
                </c:pt>
                <c:pt idx="27">
                  <c:v>27.321000000000002</c:v>
                </c:pt>
                <c:pt idx="28">
                  <c:v>29.379000000000001</c:v>
                </c:pt>
                <c:pt idx="29">
                  <c:v>29.421000000000003</c:v>
                </c:pt>
                <c:pt idx="30">
                  <c:v>31.478999999999999</c:v>
                </c:pt>
                <c:pt idx="31">
                  <c:v>31.521000000000001</c:v>
                </c:pt>
                <c:pt idx="32">
                  <c:v>33.579000000000001</c:v>
                </c:pt>
                <c:pt idx="33">
                  <c:v>33.621000000000002</c:v>
                </c:pt>
                <c:pt idx="34">
                  <c:v>35.679000000000002</c:v>
                </c:pt>
                <c:pt idx="35">
                  <c:v>35.721000000000004</c:v>
                </c:pt>
                <c:pt idx="36">
                  <c:v>37.779000000000003</c:v>
                </c:pt>
                <c:pt idx="37">
                  <c:v>37.821000000000005</c:v>
                </c:pt>
                <c:pt idx="38">
                  <c:v>39.878999999999998</c:v>
                </c:pt>
                <c:pt idx="39">
                  <c:v>39.920999999999999</c:v>
                </c:pt>
                <c:pt idx="40">
                  <c:v>41.978999999999999</c:v>
                </c:pt>
                <c:pt idx="41">
                  <c:v>42.021000000000001</c:v>
                </c:pt>
                <c:pt idx="42">
                  <c:v>44.079000000000001</c:v>
                </c:pt>
                <c:pt idx="43">
                  <c:v>44.121000000000002</c:v>
                </c:pt>
                <c:pt idx="44">
                  <c:v>46.179000000000002</c:v>
                </c:pt>
                <c:pt idx="45">
                  <c:v>46.221000000000004</c:v>
                </c:pt>
                <c:pt idx="46">
                  <c:v>48.279000000000003</c:v>
                </c:pt>
                <c:pt idx="47">
                  <c:v>48.321000000000005</c:v>
                </c:pt>
                <c:pt idx="48">
                  <c:v>50.379000000000005</c:v>
                </c:pt>
                <c:pt idx="49">
                  <c:v>50.421000000000006</c:v>
                </c:pt>
                <c:pt idx="50">
                  <c:v>52.478999999999999</c:v>
                </c:pt>
                <c:pt idx="51">
                  <c:v>52.521000000000001</c:v>
                </c:pt>
              </c:numCache>
            </c:numRef>
          </c:xVal>
          <c:yVal>
            <c:numRef>
              <c:f>Zink!$U$46:$U$97</c:f>
              <c:numCache>
                <c:formatCode>0.0000</c:formatCode>
                <c:ptCount val="52"/>
                <c:pt idx="0">
                  <c:v>0</c:v>
                </c:pt>
                <c:pt idx="1">
                  <c:v>1.1904761904761904E-2</c:v>
                </c:pt>
                <c:pt idx="2">
                  <c:v>1.1904761904761904E-2</c:v>
                </c:pt>
                <c:pt idx="3">
                  <c:v>1.1904761904761904E-2</c:v>
                </c:pt>
                <c:pt idx="4">
                  <c:v>1.1904761904761904E-2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4.7619047619047616E-2</c:v>
                </c:pt>
                <c:pt idx="8">
                  <c:v>4.7619047619047616E-2</c:v>
                </c:pt>
                <c:pt idx="9">
                  <c:v>5.9523809523809521E-2</c:v>
                </c:pt>
                <c:pt idx="10">
                  <c:v>5.9523809523809521E-2</c:v>
                </c:pt>
                <c:pt idx="11">
                  <c:v>7.1428571428571425E-2</c:v>
                </c:pt>
                <c:pt idx="12">
                  <c:v>7.1428571428571425E-2</c:v>
                </c:pt>
                <c:pt idx="13">
                  <c:v>2.3809523809523808E-2</c:v>
                </c:pt>
                <c:pt idx="14">
                  <c:v>2.3809523809523808E-2</c:v>
                </c:pt>
                <c:pt idx="15">
                  <c:v>1.1904761904761904E-2</c:v>
                </c:pt>
                <c:pt idx="16">
                  <c:v>1.1904761904761904E-2</c:v>
                </c:pt>
                <c:pt idx="17">
                  <c:v>1.1904761904761904E-2</c:v>
                </c:pt>
                <c:pt idx="18">
                  <c:v>1.1904761904761904E-2</c:v>
                </c:pt>
                <c:pt idx="19">
                  <c:v>0</c:v>
                </c:pt>
                <c:pt idx="20">
                  <c:v>0</c:v>
                </c:pt>
                <c:pt idx="21">
                  <c:v>2.3809523809523808E-2</c:v>
                </c:pt>
                <c:pt idx="22">
                  <c:v>2.3809523809523808E-2</c:v>
                </c:pt>
                <c:pt idx="23">
                  <c:v>0</c:v>
                </c:pt>
                <c:pt idx="24">
                  <c:v>0</c:v>
                </c:pt>
                <c:pt idx="25">
                  <c:v>5.9523809523809521E-2</c:v>
                </c:pt>
                <c:pt idx="26">
                  <c:v>5.9523809523809521E-2</c:v>
                </c:pt>
                <c:pt idx="27">
                  <c:v>1.1904761904761904E-2</c:v>
                </c:pt>
                <c:pt idx="28">
                  <c:v>1.1904761904761904E-2</c:v>
                </c:pt>
                <c:pt idx="29">
                  <c:v>0</c:v>
                </c:pt>
                <c:pt idx="30">
                  <c:v>0</c:v>
                </c:pt>
                <c:pt idx="31">
                  <c:v>3.5714285714285712E-2</c:v>
                </c:pt>
                <c:pt idx="32">
                  <c:v>3.5714285714285712E-2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1.1904761904761904E-2</c:v>
                </c:pt>
                <c:pt idx="40">
                  <c:v>1.1904761904761904E-2</c:v>
                </c:pt>
                <c:pt idx="41">
                  <c:v>2.3809523809523808E-2</c:v>
                </c:pt>
                <c:pt idx="42">
                  <c:v>2.3809523809523808E-2</c:v>
                </c:pt>
                <c:pt idx="43">
                  <c:v>1.1904761904761904E-2</c:v>
                </c:pt>
                <c:pt idx="44">
                  <c:v>1.1904761904761904E-2</c:v>
                </c:pt>
                <c:pt idx="45">
                  <c:v>1.1904761904761904E-2</c:v>
                </c:pt>
                <c:pt idx="46">
                  <c:v>1.1904761904761904E-2</c:v>
                </c:pt>
                <c:pt idx="47">
                  <c:v>0</c:v>
                </c:pt>
                <c:pt idx="48">
                  <c:v>0</c:v>
                </c:pt>
                <c:pt idx="49">
                  <c:v>1.1904761904761904E-2</c:v>
                </c:pt>
                <c:pt idx="50">
                  <c:v>1.1904761904761904E-2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2A-45A3-B4DF-A62132935000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Zink!$U$3:$V$3</c:f>
              <c:numCache>
                <c:formatCode>0.000</c:formatCode>
                <c:ptCount val="2"/>
                <c:pt idx="0">
                  <c:v>44.824286077390624</c:v>
                </c:pt>
                <c:pt idx="1">
                  <c:v>44.824286077390624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2A-45A3-B4DF-A62132935000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Zink!$U$4:$V$4</c:f>
              <c:numCache>
                <c:formatCode>0.000</c:formatCode>
                <c:ptCount val="2"/>
                <c:pt idx="0">
                  <c:v>53.384988363764776</c:v>
                </c:pt>
                <c:pt idx="1">
                  <c:v>53.384988363764776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2A-45A3-B4DF-A62132935000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Zink!$U$5:$V$5</c:f>
              <c:numCache>
                <c:formatCode>0.000</c:formatCode>
                <c:ptCount val="2"/>
                <c:pt idx="0">
                  <c:v>49.819028855797299</c:v>
                </c:pt>
                <c:pt idx="1">
                  <c:v>49.819028855797299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2A-45A3-B4DF-A62132935000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Zink!$U$6:$V$6</c:f>
              <c:numCache>
                <c:formatCode>0.000</c:formatCode>
                <c:ptCount val="2"/>
                <c:pt idx="0">
                  <c:v>75.517038661860454</c:v>
                </c:pt>
                <c:pt idx="1">
                  <c:v>75.517038661860454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72A-45A3-B4DF-A62132935000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Zink!$U$7:$V$7</c:f>
              <c:numCache>
                <c:formatCode>0.000</c:formatCode>
                <c:ptCount val="2"/>
                <c:pt idx="0">
                  <c:v>-8.6142860773906307</c:v>
                </c:pt>
                <c:pt idx="1">
                  <c:v>-8.6142860773906307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2A-45A3-B4DF-A62132935000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Zink!$U$8:$V$8</c:f>
              <c:numCache>
                <c:formatCode>0.000</c:formatCode>
                <c:ptCount val="2"/>
                <c:pt idx="0">
                  <c:v>0.91989032723828346</c:v>
                </c:pt>
                <c:pt idx="1">
                  <c:v>0.91989032723828346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2A-45A3-B4DF-A62132935000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Zink!$U$11:$V$11</c:f>
              <c:numCache>
                <c:formatCode>0.000</c:formatCode>
                <c:ptCount val="2"/>
                <c:pt idx="0">
                  <c:v>11</c:v>
                </c:pt>
                <c:pt idx="1">
                  <c:v>11</c:v>
                </c:pt>
              </c:numCache>
            </c:numRef>
          </c:xVal>
          <c:yVal>
            <c:numRef>
              <c:f>Zink!$U$2:$V$2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72A-45A3-B4DF-A62132935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05376"/>
        <c:axId val="156811264"/>
      </c:scatterChart>
      <c:valAx>
        <c:axId val="156805376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6811264"/>
        <c:crosses val="autoZero"/>
        <c:crossBetween val="midCat"/>
        <c:majorUnit val="20"/>
        <c:minorUnit val="10"/>
      </c:valAx>
      <c:valAx>
        <c:axId val="156811264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6805376"/>
        <c:crosses val="autoZero"/>
        <c:crossBetween val="midCat"/>
        <c:majorUnit val="0.1"/>
        <c:minorUnit val="5.000000000000001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Zink!$M$3:$M$252</c:f>
              <c:numCache>
                <c:formatCode>d/m/yyyy;@</c:formatCode>
                <c:ptCount val="250"/>
                <c:pt idx="0">
                  <c:v>35815</c:v>
                </c:pt>
                <c:pt idx="1">
                  <c:v>36187</c:v>
                </c:pt>
                <c:pt idx="2">
                  <c:v>36347</c:v>
                </c:pt>
                <c:pt idx="3">
                  <c:v>36550</c:v>
                </c:pt>
                <c:pt idx="4">
                  <c:v>36712</c:v>
                </c:pt>
                <c:pt idx="5">
                  <c:v>36914</c:v>
                </c:pt>
                <c:pt idx="6">
                  <c:v>37089</c:v>
                </c:pt>
                <c:pt idx="7">
                  <c:v>37328</c:v>
                </c:pt>
                <c:pt idx="8">
                  <c:v>37467</c:v>
                </c:pt>
                <c:pt idx="9">
                  <c:v>37649</c:v>
                </c:pt>
                <c:pt idx="10">
                  <c:v>37825</c:v>
                </c:pt>
                <c:pt idx="11">
                  <c:v>38012</c:v>
                </c:pt>
                <c:pt idx="12">
                  <c:v>38187</c:v>
                </c:pt>
                <c:pt idx="13">
                  <c:v>38378</c:v>
                </c:pt>
                <c:pt idx="14">
                  <c:v>38545</c:v>
                </c:pt>
                <c:pt idx="15">
                  <c:v>38755</c:v>
                </c:pt>
                <c:pt idx="16">
                  <c:v>38911</c:v>
                </c:pt>
                <c:pt idx="17">
                  <c:v>39105</c:v>
                </c:pt>
                <c:pt idx="18">
                  <c:v>39274</c:v>
                </c:pt>
                <c:pt idx="19">
                  <c:v>39457</c:v>
                </c:pt>
                <c:pt idx="20">
                  <c:v>39664</c:v>
                </c:pt>
                <c:pt idx="21">
                  <c:v>39881</c:v>
                </c:pt>
                <c:pt idx="22">
                  <c:v>40001</c:v>
                </c:pt>
                <c:pt idx="23">
                  <c:v>40206</c:v>
                </c:pt>
                <c:pt idx="24">
                  <c:v>40365</c:v>
                </c:pt>
                <c:pt idx="25">
                  <c:v>40577</c:v>
                </c:pt>
                <c:pt idx="26">
                  <c:v>40764</c:v>
                </c:pt>
                <c:pt idx="27">
                  <c:v>40940</c:v>
                </c:pt>
                <c:pt idx="28">
                  <c:v>41094</c:v>
                </c:pt>
                <c:pt idx="29">
                  <c:v>41303</c:v>
                </c:pt>
                <c:pt idx="30">
                  <c:v>41470</c:v>
                </c:pt>
                <c:pt idx="31">
                  <c:v>41640</c:v>
                </c:pt>
                <c:pt idx="32">
                  <c:v>41820</c:v>
                </c:pt>
                <c:pt idx="33">
                  <c:v>42016</c:v>
                </c:pt>
                <c:pt idx="34">
                  <c:v>42114</c:v>
                </c:pt>
                <c:pt idx="35">
                  <c:v>42206</c:v>
                </c:pt>
                <c:pt idx="36">
                  <c:v>42395</c:v>
                </c:pt>
                <c:pt idx="37">
                  <c:v>42467</c:v>
                </c:pt>
                <c:pt idx="38">
                  <c:v>42556</c:v>
                </c:pt>
                <c:pt idx="39">
                  <c:v>42660</c:v>
                </c:pt>
              </c:numCache>
            </c:numRef>
          </c:xVal>
          <c:yVal>
            <c:numRef>
              <c:f>Zink!$N$3:$N$252</c:f>
              <c:numCache>
                <c:formatCode>General</c:formatCode>
                <c:ptCount val="250"/>
                <c:pt idx="0">
                  <c:v>50</c:v>
                </c:pt>
                <c:pt idx="1">
                  <c:v>25</c:v>
                </c:pt>
                <c:pt idx="2">
                  <c:v>25</c:v>
                </c:pt>
                <c:pt idx="3">
                  <c:v>40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20</c:v>
                </c:pt>
                <c:pt idx="8">
                  <c:v>25</c:v>
                </c:pt>
                <c:pt idx="9">
                  <c:v>40</c:v>
                </c:pt>
                <c:pt idx="10">
                  <c:v>20</c:v>
                </c:pt>
                <c:pt idx="11">
                  <c:v>25</c:v>
                </c:pt>
                <c:pt idx="12">
                  <c:v>25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39.200000000000003</c:v>
                </c:pt>
                <c:pt idx="18">
                  <c:v>27</c:v>
                </c:pt>
                <c:pt idx="19">
                  <c:v>3</c:v>
                </c:pt>
                <c:pt idx="20">
                  <c:v>8</c:v>
                </c:pt>
                <c:pt idx="21">
                  <c:v>46</c:v>
                </c:pt>
                <c:pt idx="22">
                  <c:v>44</c:v>
                </c:pt>
                <c:pt idx="23">
                  <c:v>2</c:v>
                </c:pt>
                <c:pt idx="24">
                  <c:v>5</c:v>
                </c:pt>
                <c:pt idx="25">
                  <c:v>8</c:v>
                </c:pt>
                <c:pt idx="26">
                  <c:v>5</c:v>
                </c:pt>
                <c:pt idx="27">
                  <c:v>4</c:v>
                </c:pt>
                <c:pt idx="28">
                  <c:v>8</c:v>
                </c:pt>
                <c:pt idx="29">
                  <c:v>9</c:v>
                </c:pt>
                <c:pt idx="30">
                  <c:v>5</c:v>
                </c:pt>
                <c:pt idx="31">
                  <c:v>6</c:v>
                </c:pt>
                <c:pt idx="32">
                  <c:v>11</c:v>
                </c:pt>
                <c:pt idx="33">
                  <c:v>10</c:v>
                </c:pt>
                <c:pt idx="34">
                  <c:v>13</c:v>
                </c:pt>
                <c:pt idx="35">
                  <c:v>8</c:v>
                </c:pt>
                <c:pt idx="36">
                  <c:v>8</c:v>
                </c:pt>
                <c:pt idx="37">
                  <c:v>16</c:v>
                </c:pt>
                <c:pt idx="38">
                  <c:v>11</c:v>
                </c:pt>
                <c:pt idx="39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A-4F5E-A8F0-AC60A62E86B0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Zink!$E$57:$E$58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Zink!$F$57:$F$58</c:f>
              <c:numCache>
                <c:formatCode>0.000</c:formatCode>
                <c:ptCount val="2"/>
                <c:pt idx="0">
                  <c:v>44.824286077390624</c:v>
                </c:pt>
                <c:pt idx="1">
                  <c:v>44.824286077390624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A-4F5E-A8F0-AC60A62E86B0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Zink!$E$57:$E$58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Zink!$J$57:$J$58</c:f>
              <c:numCache>
                <c:formatCode>0.000</c:formatCode>
                <c:ptCount val="2"/>
                <c:pt idx="0">
                  <c:v>53.384988363764776</c:v>
                </c:pt>
                <c:pt idx="1">
                  <c:v>53.384988363764776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AA-4F5E-A8F0-AC60A62E86B0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Zink!$G$122:$G$123</c:f>
              <c:numCache>
                <c:formatCode>d/m/yyyy;@</c:formatCode>
                <c:ptCount val="2"/>
                <c:pt idx="0">
                  <c:v>2</c:v>
                </c:pt>
                <c:pt idx="1">
                  <c:v>42660</c:v>
                </c:pt>
              </c:numCache>
            </c:numRef>
          </c:xVal>
          <c:yVal>
            <c:numRef>
              <c:f>Zink!$I$122:$I$123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AA-4F5E-A8F0-AC60A62E86B0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Zink!$G$122:$G$123</c:f>
              <c:numCache>
                <c:formatCode>d/m/yyyy;@</c:formatCode>
                <c:ptCount val="2"/>
                <c:pt idx="0">
                  <c:v>2</c:v>
                </c:pt>
                <c:pt idx="1">
                  <c:v>42660</c:v>
                </c:pt>
              </c:numCache>
            </c:numRef>
          </c:xVal>
          <c:yVal>
            <c:numRef>
              <c:f>Zink!$J$122:$J$123</c:f>
              <c:numCache>
                <c:formatCode>General</c:formatCode>
                <c:ptCount val="2"/>
                <c:pt idx="0">
                  <c:v>181.35577338495989</c:v>
                </c:pt>
                <c:pt idx="1">
                  <c:v>5.1163378648836897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AA-4F5E-A8F0-AC60A62E86B0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Zink!$E$57:$E$58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Zink!$G$57:$G$58</c:f>
              <c:numCache>
                <c:formatCode>0.000</c:formatCode>
                <c:ptCount val="2"/>
                <c:pt idx="0">
                  <c:v>-8.6142860773906307</c:v>
                </c:pt>
                <c:pt idx="1">
                  <c:v>-8.6142860773906307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AA-4F5E-A8F0-AC60A62E86B0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Zink!$E$57:$E$58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Zink!$H$57:$H$58</c:f>
              <c:numCache>
                <c:formatCode>0.000</c:formatCode>
                <c:ptCount val="2"/>
                <c:pt idx="0">
                  <c:v>49.819028855797299</c:v>
                </c:pt>
                <c:pt idx="1">
                  <c:v>49.819028855797299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AA-4F5E-A8F0-AC60A62E86B0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Zink!$E$57:$E$58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Zink!$K$57:$K$58</c:f>
              <c:numCache>
                <c:formatCode>0.000</c:formatCode>
                <c:ptCount val="2"/>
                <c:pt idx="0">
                  <c:v>75.517038661860454</c:v>
                </c:pt>
                <c:pt idx="1">
                  <c:v>75.517038661860454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AA-4F5E-A8F0-AC60A62E8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84192"/>
        <c:axId val="158185728"/>
      </c:scatterChart>
      <c:valAx>
        <c:axId val="158184192"/>
        <c:scaling>
          <c:orientation val="minMax"/>
          <c:max val="44196"/>
          <c:min val="32874"/>
        </c:scaling>
        <c:delete val="0"/>
        <c:axPos val="b"/>
        <c:numFmt formatCode="[$-407]mmm/\ yy;@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8185728"/>
        <c:crossesAt val="0"/>
        <c:crossBetween val="midCat"/>
        <c:majorUnit val="1461"/>
        <c:minorUnit val="365.25"/>
      </c:valAx>
      <c:valAx>
        <c:axId val="158185728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8184192"/>
        <c:crossesAt val="0"/>
        <c:crossBetween val="midCat"/>
        <c:majorUnit val="2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1'!$F$63:$F$113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1'!$G$63:$G$113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40-4AB0-AC05-12EC649447D7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1'!$I$63:$I$113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1'!$J$63:$J$113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40-4AB0-AC05-12EC649447D7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'frei 1'!$T$46:$T$97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xVal>
          <c:yVal>
            <c:numRef>
              <c:f>'frei 1'!$U$46:$U$97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40-4AB0-AC05-12EC649447D7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1'!$U$3:$V$3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40-4AB0-AC05-12EC649447D7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1'!$U$4:$V$4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40-4AB0-AC05-12EC649447D7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1'!$U$5:$V$5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40-4AB0-AC05-12EC649447D7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1'!$U$6:$V$6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40-4AB0-AC05-12EC649447D7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1'!$U$7:$V$7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40-4AB0-AC05-12EC649447D7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1'!$U$8:$V$8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840-4AB0-AC05-12EC649447D7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'frei 1'!$U$11:$V$11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840-4AB0-AC05-12EC64944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23680"/>
        <c:axId val="158025216"/>
      </c:scatterChart>
      <c:valAx>
        <c:axId val="158023680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8025216"/>
        <c:crosses val="autoZero"/>
        <c:crossBetween val="midCat"/>
        <c:majorUnit val="20"/>
        <c:minorUnit val="5"/>
      </c:valAx>
      <c:valAx>
        <c:axId val="158025216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8023680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'frei 1'!$M$3:$M$252</c:f>
              <c:numCache>
                <c:formatCode>d/m/yyyy;@</c:formatCode>
                <c:ptCount val="250"/>
              </c:numCache>
            </c:numRef>
          </c:xVal>
          <c:yVal>
            <c:numRef>
              <c:f>'frei 1'!$N$3:$N$252</c:f>
              <c:numCache>
                <c:formatCode>General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C-49FB-8FC3-AF777B7A5287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1'!$E$57:$E$58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1'!$F$57:$F$58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5C-49FB-8FC3-AF777B7A5287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1'!$E$57:$E$58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1'!$J$57:$J$58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5C-49FB-8FC3-AF777B7A5287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'frei 1'!$G$122:$G$123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5C-49FB-8FC3-AF777B7A5287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'frei 1'!$G$122:$G$123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1'!$J$122:$J$123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5C-49FB-8FC3-AF777B7A5287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1'!$E$57:$E$58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1'!$G$57:$G$58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5C-49FB-8FC3-AF777B7A5287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1'!$E$57:$E$58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1'!$H$57:$H$58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55C-49FB-8FC3-AF777B7A5287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'frei 1'!$E$57:$E$58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1'!$K$57:$K$58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55C-49FB-8FC3-AF777B7A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83328"/>
        <c:axId val="158089216"/>
      </c:scatterChart>
      <c:valAx>
        <c:axId val="158083328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8089216"/>
        <c:crossesAt val="0"/>
        <c:crossBetween val="midCat"/>
        <c:majorUnit val="1461"/>
        <c:minorUnit val="365.25"/>
      </c:valAx>
      <c:valAx>
        <c:axId val="158089216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8083328"/>
        <c:crossesAt val="0"/>
        <c:crossBetween val="midCat"/>
        <c:majorUnit val="2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2'!$F$63:$F$113</c:f>
              <c:numCache>
                <c:formatCode>General</c:formatCode>
                <c:ptCount val="51"/>
                <c:pt idx="0">
                  <c:v>3.2780326251383345</c:v>
                </c:pt>
                <c:pt idx="1">
                  <c:v>3.5202446534661345</c:v>
                </c:pt>
                <c:pt idx="2">
                  <c:v>3.7624566817939344</c:v>
                </c:pt>
                <c:pt idx="3">
                  <c:v>4.0046687101217344</c:v>
                </c:pt>
                <c:pt idx="4">
                  <c:v>4.2468807384495344</c:v>
                </c:pt>
                <c:pt idx="5">
                  <c:v>4.4890927667773344</c:v>
                </c:pt>
                <c:pt idx="6">
                  <c:v>4.7313047951051344</c:v>
                </c:pt>
                <c:pt idx="7">
                  <c:v>4.9735168234329343</c:v>
                </c:pt>
                <c:pt idx="8">
                  <c:v>5.2157288517607343</c:v>
                </c:pt>
                <c:pt idx="9">
                  <c:v>5.4579408800885343</c:v>
                </c:pt>
                <c:pt idx="10">
                  <c:v>5.7001529084163343</c:v>
                </c:pt>
                <c:pt idx="11">
                  <c:v>5.9423649367441342</c:v>
                </c:pt>
                <c:pt idx="12">
                  <c:v>6.1845769650719342</c:v>
                </c:pt>
                <c:pt idx="13">
                  <c:v>6.4267889933997342</c:v>
                </c:pt>
                <c:pt idx="14">
                  <c:v>6.6690010217275342</c:v>
                </c:pt>
                <c:pt idx="15">
                  <c:v>6.9112130500553342</c:v>
                </c:pt>
                <c:pt idx="16">
                  <c:v>7.1534250783831341</c:v>
                </c:pt>
                <c:pt idx="17">
                  <c:v>7.3956371067109341</c:v>
                </c:pt>
                <c:pt idx="18">
                  <c:v>7.6378491350387341</c:v>
                </c:pt>
                <c:pt idx="19">
                  <c:v>7.8800611633665341</c:v>
                </c:pt>
                <c:pt idx="20">
                  <c:v>8.1222731916943331</c:v>
                </c:pt>
                <c:pt idx="21">
                  <c:v>8.364485220022134</c:v>
                </c:pt>
                <c:pt idx="22">
                  <c:v>8.6066972483499349</c:v>
                </c:pt>
                <c:pt idx="23">
                  <c:v>8.848909276677734</c:v>
                </c:pt>
                <c:pt idx="24">
                  <c:v>9.0911213050055331</c:v>
                </c:pt>
                <c:pt idx="25">
                  <c:v>9.3333333333333339</c:v>
                </c:pt>
                <c:pt idx="26">
                  <c:v>9.5755453616611348</c:v>
                </c:pt>
                <c:pt idx="27">
                  <c:v>9.8177573899889339</c:v>
                </c:pt>
                <c:pt idx="28">
                  <c:v>10.059969418316733</c:v>
                </c:pt>
                <c:pt idx="29">
                  <c:v>10.302181446644546</c:v>
                </c:pt>
                <c:pt idx="30">
                  <c:v>10.544393474972345</c:v>
                </c:pt>
                <c:pt idx="31">
                  <c:v>10.786605503300146</c:v>
                </c:pt>
                <c:pt idx="32">
                  <c:v>11.028817531627945</c:v>
                </c:pt>
                <c:pt idx="33">
                  <c:v>11.271029559955746</c:v>
                </c:pt>
                <c:pt idx="34">
                  <c:v>11.513241588283545</c:v>
                </c:pt>
                <c:pt idx="35">
                  <c:v>11.755453616611346</c:v>
                </c:pt>
                <c:pt idx="36">
                  <c:v>11.997665644939145</c:v>
                </c:pt>
                <c:pt idx="37">
                  <c:v>12.239877673266946</c:v>
                </c:pt>
                <c:pt idx="38">
                  <c:v>12.482089701594745</c:v>
                </c:pt>
                <c:pt idx="39">
                  <c:v>12.724301729922546</c:v>
                </c:pt>
                <c:pt idx="40">
                  <c:v>12.966513758250347</c:v>
                </c:pt>
                <c:pt idx="41">
                  <c:v>13.208725786578146</c:v>
                </c:pt>
                <c:pt idx="42">
                  <c:v>13.450937814905945</c:v>
                </c:pt>
                <c:pt idx="43">
                  <c:v>13.693149843233744</c:v>
                </c:pt>
                <c:pt idx="44">
                  <c:v>13.935361871561547</c:v>
                </c:pt>
                <c:pt idx="45">
                  <c:v>14.177573899889346</c:v>
                </c:pt>
                <c:pt idx="46">
                  <c:v>14.419785928217145</c:v>
                </c:pt>
                <c:pt idx="47">
                  <c:v>14.661997956544946</c:v>
                </c:pt>
                <c:pt idx="48">
                  <c:v>14.904209984872747</c:v>
                </c:pt>
                <c:pt idx="49">
                  <c:v>15.146422013200546</c:v>
                </c:pt>
                <c:pt idx="50">
                  <c:v>15.388634041528334</c:v>
                </c:pt>
              </c:numCache>
            </c:numRef>
          </c:xVal>
          <c:yVal>
            <c:numRef>
              <c:f>'frei 2'!$G$63:$G$113</c:f>
              <c:numCache>
                <c:formatCode>General</c:formatCode>
                <c:ptCount val="51"/>
                <c:pt idx="0">
                  <c:v>1.227618235971528E-6</c:v>
                </c:pt>
                <c:pt idx="1">
                  <c:v>3.2709350715407189E-6</c:v>
                </c:pt>
                <c:pt idx="2">
                  <c:v>8.3735330037057783E-6</c:v>
                </c:pt>
                <c:pt idx="3">
                  <c:v>2.0595567827290066E-5</c:v>
                </c:pt>
                <c:pt idx="4">
                  <c:v>4.8670636354003596E-5</c:v>
                </c:pt>
                <c:pt idx="5">
                  <c:v>1.10506671934364E-4</c:v>
                </c:pt>
                <c:pt idx="6">
                  <c:v>2.410672399773236E-4</c:v>
                </c:pt>
                <c:pt idx="7">
                  <c:v>5.0526138964960773E-4</c:v>
                </c:pt>
                <c:pt idx="8">
                  <c:v>1.0174714913871942E-3</c:v>
                </c:pt>
                <c:pt idx="9">
                  <c:v>1.9685960420085429E-3</c:v>
                </c:pt>
                <c:pt idx="10">
                  <c:v>3.6594783855574027E-3</c:v>
                </c:pt>
                <c:pt idx="11">
                  <c:v>6.5359690331047602E-3</c:v>
                </c:pt>
                <c:pt idx="12">
                  <c:v>1.1215767711835493E-2</c:v>
                </c:pt>
                <c:pt idx="13">
                  <c:v>1.849167479373489E-2</c:v>
                </c:pt>
                <c:pt idx="14">
                  <c:v>2.9292180979733625E-2</c:v>
                </c:pt>
                <c:pt idx="15">
                  <c:v>4.4581573331377966E-2</c:v>
                </c:pt>
                <c:pt idx="16">
                  <c:v>6.5190947655205791E-2</c:v>
                </c:pt>
                <c:pt idx="17">
                  <c:v>9.158986483473873E-2</c:v>
                </c:pt>
                <c:pt idx="18">
                  <c:v>0.12363338573186776</c:v>
                </c:pt>
                <c:pt idx="19">
                  <c:v>0.16034385767201403</c:v>
                </c:pt>
                <c:pt idx="20">
                  <c:v>0.19980074993771144</c:v>
                </c:pt>
                <c:pt idx="21">
                  <c:v>0.23920492699018719</c:v>
                </c:pt>
                <c:pt idx="22">
                  <c:v>0.27515116007436846</c:v>
                </c:pt>
                <c:pt idx="23">
                  <c:v>0.30408906018896914</c:v>
                </c:pt>
                <c:pt idx="24">
                  <c:v>0.32289287751327894</c:v>
                </c:pt>
                <c:pt idx="25">
                  <c:v>0.32941574632414233</c:v>
                </c:pt>
                <c:pt idx="26">
                  <c:v>0.32289287751327894</c:v>
                </c:pt>
                <c:pt idx="27">
                  <c:v>0.30408906018896914</c:v>
                </c:pt>
                <c:pt idx="28">
                  <c:v>0.27515116007436846</c:v>
                </c:pt>
                <c:pt idx="29">
                  <c:v>0.23920492699018525</c:v>
                </c:pt>
                <c:pt idx="30">
                  <c:v>0.19980074993770966</c:v>
                </c:pt>
                <c:pt idx="31">
                  <c:v>0.16034385767201209</c:v>
                </c:pt>
                <c:pt idx="32">
                  <c:v>0.12363338573186612</c:v>
                </c:pt>
                <c:pt idx="33">
                  <c:v>9.1589864834737231E-2</c:v>
                </c:pt>
                <c:pt idx="34">
                  <c:v>6.5190947655204681E-2</c:v>
                </c:pt>
                <c:pt idx="35">
                  <c:v>4.458157333137705E-2</c:v>
                </c:pt>
                <c:pt idx="36">
                  <c:v>2.9292180979733028E-2</c:v>
                </c:pt>
                <c:pt idx="37">
                  <c:v>1.8491674793734439E-2</c:v>
                </c:pt>
                <c:pt idx="38">
                  <c:v>1.1215767711835222E-2</c:v>
                </c:pt>
                <c:pt idx="39">
                  <c:v>6.5359690331045651E-3</c:v>
                </c:pt>
                <c:pt idx="40">
                  <c:v>3.6594783855572795E-3</c:v>
                </c:pt>
                <c:pt idx="41">
                  <c:v>1.96859604200848E-3</c:v>
                </c:pt>
                <c:pt idx="42">
                  <c:v>1.0174714913871597E-3</c:v>
                </c:pt>
                <c:pt idx="43">
                  <c:v>5.0526138964959158E-4</c:v>
                </c:pt>
                <c:pt idx="44">
                  <c:v>2.4106723997731352E-4</c:v>
                </c:pt>
                <c:pt idx="45">
                  <c:v>1.105066719343593E-4</c:v>
                </c:pt>
                <c:pt idx="46">
                  <c:v>4.8670636354001604E-5</c:v>
                </c:pt>
                <c:pt idx="47">
                  <c:v>2.0595567827289185E-5</c:v>
                </c:pt>
                <c:pt idx="48">
                  <c:v>8.373533003705331E-6</c:v>
                </c:pt>
                <c:pt idx="49">
                  <c:v>3.2709350715405508E-6</c:v>
                </c:pt>
                <c:pt idx="50">
                  <c:v>1.2276182359715236E-6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15-4D5D-8BB1-61AD21C049CF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2'!$I$63:$I$113</c:f>
              <c:numCache>
                <c:formatCode>General</c:formatCode>
                <c:ptCount val="51"/>
                <c:pt idx="0">
                  <c:v>4.8276730408195414</c:v>
                </c:pt>
                <c:pt idx="1">
                  <c:v>4.9552674912822576</c:v>
                </c:pt>
                <c:pt idx="2">
                  <c:v>5.0862342380150869</c:v>
                </c:pt>
                <c:pt idx="3">
                  <c:v>5.2206624101462324</c:v>
                </c:pt>
                <c:pt idx="4">
                  <c:v>5.3586434924692572</c:v>
                </c:pt>
                <c:pt idx="5">
                  <c:v>5.5002713877028473</c:v>
                </c:pt>
                <c:pt idx="6">
                  <c:v>5.6456424803961118</c:v>
                </c:pt>
                <c:pt idx="7">
                  <c:v>5.794855702522856</c:v>
                </c:pt>
                <c:pt idx="8">
                  <c:v>5.9480126008095349</c:v>
                </c:pt>
                <c:pt idx="9">
                  <c:v>6.1052174058426383</c:v>
                </c:pt>
                <c:pt idx="10">
                  <c:v>6.2665771030025885</c:v>
                </c:pt>
                <c:pt idx="11">
                  <c:v>6.4322015052724062</c:v>
                </c:pt>
                <c:pt idx="12">
                  <c:v>6.6022033279706891</c:v>
                </c:pt>
                <c:pt idx="13">
                  <c:v>6.7766982654597729</c:v>
                </c:pt>
                <c:pt idx="14">
                  <c:v>6.955805069881265</c:v>
                </c:pt>
                <c:pt idx="15">
                  <c:v>7.139645631972563</c:v>
                </c:pt>
                <c:pt idx="16">
                  <c:v>7.3283450640193157</c:v>
                </c:pt>
                <c:pt idx="17">
                  <c:v>7.5220317850003147</c:v>
                </c:pt>
                <c:pt idx="18">
                  <c:v>7.720837607982741</c:v>
                </c:pt>
                <c:pt idx="19">
                  <c:v>7.9248978298272554</c:v>
                </c:pt>
                <c:pt idx="20">
                  <c:v>8.1343513232639868</c:v>
                </c:pt>
                <c:pt idx="21">
                  <c:v>8.3493406314020397</c:v>
                </c:pt>
                <c:pt idx="22">
                  <c:v>8.5700120647369129</c:v>
                </c:pt>
                <c:pt idx="23">
                  <c:v>8.7965158007217621</c:v>
                </c:pt>
                <c:pt idx="24">
                  <c:v>9.0290059859703344</c:v>
                </c:pt>
                <c:pt idx="25">
                  <c:v>9.2676408411611266</c:v>
                </c:pt>
                <c:pt idx="26">
                  <c:v>9.5125827687140845</c:v>
                </c:pt>
                <c:pt idx="27">
                  <c:v>9.763998463313218</c:v>
                </c:pt>
                <c:pt idx="28">
                  <c:v>10.022059025350321</c:v>
                </c:pt>
                <c:pt idx="29">
                  <c:v>10.286940077366935</c:v>
                </c:pt>
                <c:pt idx="30">
                  <c:v>10.558821883573867</c:v>
                </c:pt>
                <c:pt idx="31">
                  <c:v>10.837889472529644</c:v>
                </c:pt>
                <c:pt idx="32">
                  <c:v>11.124332763061247</c:v>
                </c:pt>
                <c:pt idx="33">
                  <c:v>11.418346693512973</c:v>
                </c:pt>
                <c:pt idx="34">
                  <c:v>11.720131354411269</c:v>
                </c:pt>
                <c:pt idx="35">
                  <c:v>12.029892124635897</c:v>
                </c:pt>
                <c:pt idx="36">
                  <c:v>12.347839811190102</c:v>
                </c:pt>
                <c:pt idx="37">
                  <c:v>12.674190792664813</c:v>
                </c:pt>
                <c:pt idx="38">
                  <c:v>13.009167166494622</c:v>
                </c:pt>
                <c:pt idx="39">
                  <c:v>13.352996900105728</c:v>
                </c:pt>
                <c:pt idx="40">
                  <c:v>13.70591398605861</c:v>
                </c:pt>
                <c:pt idx="41">
                  <c:v>14.068158601291197</c:v>
                </c:pt>
                <c:pt idx="42">
                  <c:v>14.439977270570708</c:v>
                </c:pt>
                <c:pt idx="43">
                  <c:v>14.821623034265546</c:v>
                </c:pt>
                <c:pt idx="44">
                  <c:v>15.213355620551383</c:v>
                </c:pt>
                <c:pt idx="45">
                  <c:v>15.615441622168547</c:v>
                </c:pt>
                <c:pt idx="46">
                  <c:v>16.028154677851163</c:v>
                </c:pt>
                <c:pt idx="47">
                  <c:v>16.451775658551352</c:v>
                </c:pt>
                <c:pt idx="48">
                  <c:v>16.886592858585349</c:v>
                </c:pt>
                <c:pt idx="49">
                  <c:v>17.332902191831543</c:v>
                </c:pt>
                <c:pt idx="50">
                  <c:v>17.791007393114025</c:v>
                </c:pt>
              </c:numCache>
            </c:numRef>
          </c:xVal>
          <c:yVal>
            <c:numRef>
              <c:f>'frei 2'!$J$63:$J$113</c:f>
              <c:numCache>
                <c:formatCode>General</c:formatCode>
                <c:ptCount val="51"/>
                <c:pt idx="0">
                  <c:v>2.3610446109842533E-6</c:v>
                </c:pt>
                <c:pt idx="1">
                  <c:v>6.12891405623433E-6</c:v>
                </c:pt>
                <c:pt idx="2">
                  <c:v>1.5285902692026681E-5</c:v>
                </c:pt>
                <c:pt idx="3">
                  <c:v>3.6629152510144309E-5</c:v>
                </c:pt>
                <c:pt idx="4">
                  <c:v>8.4331703102865523E-5</c:v>
                </c:pt>
                <c:pt idx="5">
                  <c:v>1.8654477638565688E-4</c:v>
                </c:pt>
                <c:pt idx="6">
                  <c:v>3.9646379569200263E-4</c:v>
                </c:pt>
                <c:pt idx="7">
                  <c:v>8.0956588230652346E-4</c:v>
                </c:pt>
                <c:pt idx="8">
                  <c:v>1.5882873642246956E-3</c:v>
                </c:pt>
                <c:pt idx="9">
                  <c:v>2.993878593800858E-3</c:v>
                </c:pt>
                <c:pt idx="10">
                  <c:v>5.422099837916995E-3</c:v>
                </c:pt>
                <c:pt idx="11">
                  <c:v>9.4347208660812507E-3</c:v>
                </c:pt>
                <c:pt idx="12">
                  <c:v>1.5773164118699983E-2</c:v>
                </c:pt>
                <c:pt idx="13">
                  <c:v>2.533592759753692E-2</c:v>
                </c:pt>
                <c:pt idx="14">
                  <c:v>3.9100563575798768E-2</c:v>
                </c:pt>
                <c:pt idx="15">
                  <c:v>5.7977227819069985E-2</c:v>
                </c:pt>
                <c:pt idx="16">
                  <c:v>8.2596205291438671E-2</c:v>
                </c:pt>
                <c:pt idx="17">
                  <c:v>0.11305530997192238</c:v>
                </c:pt>
                <c:pt idx="18">
                  <c:v>0.1486791452946962</c:v>
                </c:pt>
                <c:pt idx="19">
                  <c:v>0.1878613190208917</c:v>
                </c:pt>
                <c:pt idx="20">
                  <c:v>0.22806198473712619</c:v>
                </c:pt>
                <c:pt idx="21">
                  <c:v>0.26600919715062243</c:v>
                </c:pt>
                <c:pt idx="22">
                  <c:v>0.29810456463271101</c:v>
                </c:pt>
                <c:pt idx="23">
                  <c:v>0.32097323578512144</c:v>
                </c:pt>
                <c:pt idx="24">
                  <c:v>0.33204522220025445</c:v>
                </c:pt>
                <c:pt idx="25">
                  <c:v>0.33003034346810395</c:v>
                </c:pt>
                <c:pt idx="26">
                  <c:v>0.31516554144676567</c:v>
                </c:pt>
                <c:pt idx="27">
                  <c:v>0.28916904798800352</c:v>
                </c:pt>
                <c:pt idx="28">
                  <c:v>0.25491365686365802</c:v>
                </c:pt>
                <c:pt idx="29">
                  <c:v>0.21590496118305444</c:v>
                </c:pt>
                <c:pt idx="30">
                  <c:v>0.17569538796924217</c:v>
                </c:pt>
                <c:pt idx="31">
                  <c:v>0.13736823605653911</c:v>
                </c:pt>
                <c:pt idx="32">
                  <c:v>0.10319068666533776</c:v>
                </c:pt>
                <c:pt idx="33">
                  <c:v>7.4477125095087901E-2</c:v>
                </c:pt>
                <c:pt idx="34">
                  <c:v>5.1645623675233551E-2</c:v>
                </c:pt>
                <c:pt idx="35">
                  <c:v>3.4409025206850935E-2</c:v>
                </c:pt>
                <c:pt idx="36">
                  <c:v>2.2026192638916035E-2</c:v>
                </c:pt>
                <c:pt idx="37">
                  <c:v>1.3546737571869744E-2</c:v>
                </c:pt>
                <c:pt idx="38">
                  <c:v>8.0049426150288188E-3</c:v>
                </c:pt>
                <c:pt idx="39">
                  <c:v>4.5447494828783032E-3</c:v>
                </c:pt>
                <c:pt idx="40">
                  <c:v>2.4790763118056613E-3</c:v>
                </c:pt>
                <c:pt idx="41">
                  <c:v>1.2992659679124225E-3</c:v>
                </c:pt>
                <c:pt idx="42">
                  <c:v>6.5423601984252572E-4</c:v>
                </c:pt>
                <c:pt idx="43">
                  <c:v>3.1651847161448413E-4</c:v>
                </c:pt>
                <c:pt idx="44">
                  <c:v>1.4712683399539466E-4</c:v>
                </c:pt>
                <c:pt idx="45">
                  <c:v>6.5707196818743445E-5</c:v>
                </c:pt>
                <c:pt idx="46">
                  <c:v>2.8194358060786375E-5</c:v>
                </c:pt>
                <c:pt idx="47">
                  <c:v>1.1623574475732523E-5</c:v>
                </c:pt>
                <c:pt idx="48">
                  <c:v>4.6041070737144556E-6</c:v>
                </c:pt>
                <c:pt idx="49">
                  <c:v>1.7521825395190872E-6</c:v>
                </c:pt>
                <c:pt idx="50">
                  <c:v>6.4068049463194824E-7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15-4D5D-8BB1-61AD21C049CF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'frei 2'!$T$46:$T$97</c:f>
              <c:numCache>
                <c:formatCode>0.0</c:formatCode>
                <c:ptCount val="52"/>
                <c:pt idx="0">
                  <c:v>7.59842</c:v>
                </c:pt>
                <c:pt idx="1">
                  <c:v>7.6015799999999993</c:v>
                </c:pt>
                <c:pt idx="2">
                  <c:v>7.7564200000000003</c:v>
                </c:pt>
                <c:pt idx="3">
                  <c:v>7.7595799999999997</c:v>
                </c:pt>
                <c:pt idx="4">
                  <c:v>7.9144199999999998</c:v>
                </c:pt>
                <c:pt idx="5">
                  <c:v>7.9175799999999992</c:v>
                </c:pt>
                <c:pt idx="6">
                  <c:v>8.0724199999999993</c:v>
                </c:pt>
                <c:pt idx="7">
                  <c:v>8.0755800000000004</c:v>
                </c:pt>
                <c:pt idx="8">
                  <c:v>8.2304199999999987</c:v>
                </c:pt>
                <c:pt idx="9">
                  <c:v>8.2335799999999999</c:v>
                </c:pt>
                <c:pt idx="10">
                  <c:v>8.38842</c:v>
                </c:pt>
                <c:pt idx="11">
                  <c:v>8.3915800000000011</c:v>
                </c:pt>
                <c:pt idx="12">
                  <c:v>8.5464199999999995</c:v>
                </c:pt>
                <c:pt idx="13">
                  <c:v>8.5495800000000006</c:v>
                </c:pt>
                <c:pt idx="14">
                  <c:v>8.7044199999999989</c:v>
                </c:pt>
                <c:pt idx="15">
                  <c:v>8.7075800000000001</c:v>
                </c:pt>
                <c:pt idx="16">
                  <c:v>8.8624200000000002</c:v>
                </c:pt>
                <c:pt idx="17">
                  <c:v>8.8655800000000013</c:v>
                </c:pt>
                <c:pt idx="18">
                  <c:v>9.0204199999999997</c:v>
                </c:pt>
                <c:pt idx="19">
                  <c:v>9.0235800000000008</c:v>
                </c:pt>
                <c:pt idx="20">
                  <c:v>9.1784199999999991</c:v>
                </c:pt>
                <c:pt idx="21">
                  <c:v>9.1815800000000003</c:v>
                </c:pt>
                <c:pt idx="22">
                  <c:v>9.3364200000000004</c:v>
                </c:pt>
                <c:pt idx="23">
                  <c:v>9.3395800000000015</c:v>
                </c:pt>
                <c:pt idx="24">
                  <c:v>9.4944199999999999</c:v>
                </c:pt>
                <c:pt idx="25">
                  <c:v>9.497580000000001</c:v>
                </c:pt>
                <c:pt idx="26">
                  <c:v>9.6524199999999993</c:v>
                </c:pt>
                <c:pt idx="27">
                  <c:v>9.6555800000000005</c:v>
                </c:pt>
                <c:pt idx="28">
                  <c:v>9.8104200000000006</c:v>
                </c:pt>
                <c:pt idx="29">
                  <c:v>9.8135800000000017</c:v>
                </c:pt>
                <c:pt idx="30">
                  <c:v>9.9684200000000001</c:v>
                </c:pt>
                <c:pt idx="31">
                  <c:v>9.9715800000000012</c:v>
                </c:pt>
                <c:pt idx="32">
                  <c:v>10.12642</c:v>
                </c:pt>
                <c:pt idx="33">
                  <c:v>10.129580000000001</c:v>
                </c:pt>
                <c:pt idx="34">
                  <c:v>10.284419999999999</c:v>
                </c:pt>
                <c:pt idx="35">
                  <c:v>10.28758</c:v>
                </c:pt>
                <c:pt idx="36">
                  <c:v>10.442419999999998</c:v>
                </c:pt>
                <c:pt idx="37">
                  <c:v>10.44558</c:v>
                </c:pt>
                <c:pt idx="38">
                  <c:v>10.60042</c:v>
                </c:pt>
                <c:pt idx="39">
                  <c:v>10.603580000000001</c:v>
                </c:pt>
                <c:pt idx="40">
                  <c:v>10.758419999999999</c:v>
                </c:pt>
                <c:pt idx="41">
                  <c:v>10.76158</c:v>
                </c:pt>
                <c:pt idx="42">
                  <c:v>10.916419999999999</c:v>
                </c:pt>
                <c:pt idx="43">
                  <c:v>10.91958</c:v>
                </c:pt>
                <c:pt idx="44">
                  <c:v>11.07442</c:v>
                </c:pt>
                <c:pt idx="45">
                  <c:v>11.077580000000001</c:v>
                </c:pt>
                <c:pt idx="46">
                  <c:v>11.232419999999999</c:v>
                </c:pt>
                <c:pt idx="47">
                  <c:v>11.235580000000001</c:v>
                </c:pt>
                <c:pt idx="48">
                  <c:v>11.390419999999999</c:v>
                </c:pt>
                <c:pt idx="49">
                  <c:v>11.39358</c:v>
                </c:pt>
                <c:pt idx="50">
                  <c:v>11.54842</c:v>
                </c:pt>
                <c:pt idx="51">
                  <c:v>11.551580000000001</c:v>
                </c:pt>
              </c:numCache>
            </c:numRef>
          </c:xVal>
          <c:yVal>
            <c:numRef>
              <c:f>'frei 2'!$U$46:$U$97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2.1097046413502105</c:v>
                </c:pt>
                <c:pt idx="8">
                  <c:v>2.1097046413502105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1.0548523206751053</c:v>
                </c:pt>
                <c:pt idx="20">
                  <c:v>1.0548523206751053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2.1097046413502105</c:v>
                </c:pt>
                <c:pt idx="34">
                  <c:v>2.1097046413502105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1.0548523206751053</c:v>
                </c:pt>
                <c:pt idx="46">
                  <c:v>1.0548523206751053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15-4D5D-8BB1-61AD21C049CF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2'!$U$3:$V$3</c:f>
              <c:numCache>
                <c:formatCode>0.000</c:formatCode>
                <c:ptCount val="2"/>
                <c:pt idx="0">
                  <c:v>11.706967594057749</c:v>
                </c:pt>
                <c:pt idx="1">
                  <c:v>11.706967594057749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15-4D5D-8BB1-61AD21C049CF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2'!$U$4:$V$4</c:f>
              <c:numCache>
                <c:formatCode>0.000</c:formatCode>
                <c:ptCount val="2"/>
                <c:pt idx="0">
                  <c:v>11.485344225747488</c:v>
                </c:pt>
                <c:pt idx="1">
                  <c:v>11.485344225747488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15-4D5D-8BB1-61AD21C049CF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2'!$U$5:$V$5</c:f>
              <c:numCache>
                <c:formatCode>0.000</c:formatCode>
                <c:ptCount val="2"/>
                <c:pt idx="0">
                  <c:v>12.150680519170821</c:v>
                </c:pt>
                <c:pt idx="1">
                  <c:v>12.150680519170821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15-4D5D-8BB1-61AD21C049CF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2'!$U$6:$V$6</c:f>
              <c:numCache>
                <c:formatCode>0.000</c:formatCode>
                <c:ptCount val="2"/>
                <c:pt idx="0">
                  <c:v>12.114525493039908</c:v>
                </c:pt>
                <c:pt idx="1">
                  <c:v>12.114525493039908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15-4D5D-8BB1-61AD21C049CF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2'!$U$7:$V$7</c:f>
              <c:numCache>
                <c:formatCode>0.000</c:formatCode>
                <c:ptCount val="2"/>
                <c:pt idx="0">
                  <c:v>6.9596990726089176</c:v>
                </c:pt>
                <c:pt idx="1">
                  <c:v>6.9596990726089176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15-4D5D-8BB1-61AD21C049CF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2'!$U$8:$V$8</c:f>
              <c:numCache>
                <c:formatCode>0.000</c:formatCode>
                <c:ptCount val="2"/>
                <c:pt idx="0">
                  <c:v>1.9708851555327525</c:v>
                </c:pt>
                <c:pt idx="1">
                  <c:v>1.9708851555327525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D15-4D5D-8BB1-61AD21C049CF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'frei 2'!$U$11:$V$11</c:f>
              <c:numCache>
                <c:formatCode>0.000</c:formatCode>
                <c:ptCount val="2"/>
                <c:pt idx="0">
                  <c:v>9.5</c:v>
                </c:pt>
                <c:pt idx="1">
                  <c:v>9.5</c:v>
                </c:pt>
              </c:numCache>
            </c:numRef>
          </c:xVal>
          <c:yVal>
            <c:numRef>
              <c:f>'frei 2'!$U$2:$V$2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15-4D5D-8BB1-61AD21C0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23104"/>
        <c:axId val="157424640"/>
      </c:scatterChart>
      <c:valAx>
        <c:axId val="157423104"/>
        <c:scaling>
          <c:orientation val="minMax"/>
          <c:max val="15"/>
          <c:min val="5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7424640"/>
        <c:crosses val="autoZero"/>
        <c:crossBetween val="midCat"/>
        <c:majorUnit val="5"/>
        <c:minorUnit val="1"/>
      </c:valAx>
      <c:valAx>
        <c:axId val="157424640"/>
        <c:scaling>
          <c:orientation val="minMax"/>
          <c:max val="3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7423104"/>
        <c:crosses val="autoZero"/>
        <c:crossBetween val="midCat"/>
        <c:majorUnit val="1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Natrium!$M$3:$M$252</c:f>
              <c:numCache>
                <c:formatCode>d/m/yyyy;@</c:formatCode>
                <c:ptCount val="250"/>
                <c:pt idx="0">
                  <c:v>36769</c:v>
                </c:pt>
                <c:pt idx="1">
                  <c:v>36895</c:v>
                </c:pt>
                <c:pt idx="2">
                  <c:v>37333</c:v>
                </c:pt>
                <c:pt idx="3">
                  <c:v>37540</c:v>
                </c:pt>
                <c:pt idx="4">
                  <c:v>37677</c:v>
                </c:pt>
                <c:pt idx="5">
                  <c:v>37852</c:v>
                </c:pt>
                <c:pt idx="6">
                  <c:v>38055</c:v>
                </c:pt>
                <c:pt idx="7">
                  <c:v>38264</c:v>
                </c:pt>
                <c:pt idx="8">
                  <c:v>38421</c:v>
                </c:pt>
                <c:pt idx="9">
                  <c:v>38631</c:v>
                </c:pt>
                <c:pt idx="10">
                  <c:v>38747</c:v>
                </c:pt>
                <c:pt idx="11">
                  <c:v>38944</c:v>
                </c:pt>
                <c:pt idx="12">
                  <c:v>39115</c:v>
                </c:pt>
                <c:pt idx="13">
                  <c:v>39318</c:v>
                </c:pt>
                <c:pt idx="14">
                  <c:v>39492</c:v>
                </c:pt>
                <c:pt idx="15">
                  <c:v>39723</c:v>
                </c:pt>
                <c:pt idx="16">
                  <c:v>39842</c:v>
                </c:pt>
                <c:pt idx="17">
                  <c:v>40024</c:v>
                </c:pt>
                <c:pt idx="18">
                  <c:v>40198</c:v>
                </c:pt>
                <c:pt idx="19">
                  <c:v>40329</c:v>
                </c:pt>
                <c:pt idx="20">
                  <c:v>40409</c:v>
                </c:pt>
                <c:pt idx="21">
                  <c:v>40487</c:v>
                </c:pt>
                <c:pt idx="22">
                  <c:v>40639</c:v>
                </c:pt>
                <c:pt idx="23">
                  <c:v>40744</c:v>
                </c:pt>
                <c:pt idx="24">
                  <c:v>40799</c:v>
                </c:pt>
                <c:pt idx="25">
                  <c:v>40898</c:v>
                </c:pt>
                <c:pt idx="26">
                  <c:v>40977</c:v>
                </c:pt>
                <c:pt idx="27">
                  <c:v>41086</c:v>
                </c:pt>
                <c:pt idx="28">
                  <c:v>41164</c:v>
                </c:pt>
                <c:pt idx="29">
                  <c:v>41248</c:v>
                </c:pt>
                <c:pt idx="30">
                  <c:v>41338</c:v>
                </c:pt>
                <c:pt idx="31">
                  <c:v>41429</c:v>
                </c:pt>
                <c:pt idx="32">
                  <c:v>41516</c:v>
                </c:pt>
                <c:pt idx="33">
                  <c:v>41617</c:v>
                </c:pt>
                <c:pt idx="34">
                  <c:v>41696</c:v>
                </c:pt>
                <c:pt idx="35">
                  <c:v>41813</c:v>
                </c:pt>
                <c:pt idx="36">
                  <c:v>41886</c:v>
                </c:pt>
                <c:pt idx="37">
                  <c:v>41975</c:v>
                </c:pt>
                <c:pt idx="38">
                  <c:v>42046</c:v>
                </c:pt>
                <c:pt idx="39">
                  <c:v>42156</c:v>
                </c:pt>
                <c:pt idx="40">
                  <c:v>42254</c:v>
                </c:pt>
                <c:pt idx="41">
                  <c:v>42332</c:v>
                </c:pt>
                <c:pt idx="42">
                  <c:v>42403</c:v>
                </c:pt>
                <c:pt idx="43">
                  <c:v>42508</c:v>
                </c:pt>
                <c:pt idx="44">
                  <c:v>42579</c:v>
                </c:pt>
                <c:pt idx="45">
                  <c:v>42696</c:v>
                </c:pt>
              </c:numCache>
            </c:numRef>
          </c:xVal>
          <c:yVal>
            <c:numRef>
              <c:f>Natrium!$N$3:$N$252</c:f>
              <c:numCache>
                <c:formatCode>General</c:formatCode>
                <c:ptCount val="250"/>
                <c:pt idx="0">
                  <c:v>32</c:v>
                </c:pt>
                <c:pt idx="1">
                  <c:v>78</c:v>
                </c:pt>
                <c:pt idx="2">
                  <c:v>73</c:v>
                </c:pt>
                <c:pt idx="3">
                  <c:v>29.7</c:v>
                </c:pt>
                <c:pt idx="4">
                  <c:v>70</c:v>
                </c:pt>
                <c:pt idx="5">
                  <c:v>31</c:v>
                </c:pt>
                <c:pt idx="6">
                  <c:v>63</c:v>
                </c:pt>
                <c:pt idx="7">
                  <c:v>27</c:v>
                </c:pt>
                <c:pt idx="8">
                  <c:v>72</c:v>
                </c:pt>
                <c:pt idx="9">
                  <c:v>50</c:v>
                </c:pt>
                <c:pt idx="10">
                  <c:v>63</c:v>
                </c:pt>
                <c:pt idx="11">
                  <c:v>55</c:v>
                </c:pt>
                <c:pt idx="12">
                  <c:v>64</c:v>
                </c:pt>
                <c:pt idx="13">
                  <c:v>54</c:v>
                </c:pt>
                <c:pt idx="14">
                  <c:v>61</c:v>
                </c:pt>
                <c:pt idx="15">
                  <c:v>34</c:v>
                </c:pt>
                <c:pt idx="16">
                  <c:v>39</c:v>
                </c:pt>
                <c:pt idx="17">
                  <c:v>43</c:v>
                </c:pt>
                <c:pt idx="18">
                  <c:v>60</c:v>
                </c:pt>
                <c:pt idx="19">
                  <c:v>48.3</c:v>
                </c:pt>
                <c:pt idx="20">
                  <c:v>53</c:v>
                </c:pt>
                <c:pt idx="21">
                  <c:v>66</c:v>
                </c:pt>
                <c:pt idx="22">
                  <c:v>72</c:v>
                </c:pt>
                <c:pt idx="23">
                  <c:v>68</c:v>
                </c:pt>
                <c:pt idx="24">
                  <c:v>59</c:v>
                </c:pt>
                <c:pt idx="25">
                  <c:v>78</c:v>
                </c:pt>
                <c:pt idx="26">
                  <c:v>66</c:v>
                </c:pt>
                <c:pt idx="27">
                  <c:v>81.2</c:v>
                </c:pt>
                <c:pt idx="28">
                  <c:v>57</c:v>
                </c:pt>
                <c:pt idx="29">
                  <c:v>69.5</c:v>
                </c:pt>
                <c:pt idx="30">
                  <c:v>68</c:v>
                </c:pt>
                <c:pt idx="31">
                  <c:v>81.599999999999994</c:v>
                </c:pt>
                <c:pt idx="32">
                  <c:v>36</c:v>
                </c:pt>
                <c:pt idx="33">
                  <c:v>57.6</c:v>
                </c:pt>
                <c:pt idx="34">
                  <c:v>72</c:v>
                </c:pt>
                <c:pt idx="35">
                  <c:v>64.099999999999994</c:v>
                </c:pt>
                <c:pt idx="36">
                  <c:v>67</c:v>
                </c:pt>
                <c:pt idx="37">
                  <c:v>100</c:v>
                </c:pt>
                <c:pt idx="38">
                  <c:v>83</c:v>
                </c:pt>
                <c:pt idx="39">
                  <c:v>77.900000000000006</c:v>
                </c:pt>
                <c:pt idx="40">
                  <c:v>45</c:v>
                </c:pt>
                <c:pt idx="41">
                  <c:v>78.400000000000006</c:v>
                </c:pt>
                <c:pt idx="42">
                  <c:v>81</c:v>
                </c:pt>
                <c:pt idx="43">
                  <c:v>116</c:v>
                </c:pt>
                <c:pt idx="44">
                  <c:v>71</c:v>
                </c:pt>
                <c:pt idx="45">
                  <c:v>51.3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29-4AC5-99A7-D38F61C5D527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Natrium!$E$57:$E$58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Natrium!$F$57:$F$58</c:f>
              <c:numCache>
                <c:formatCode>0.000</c:formatCode>
                <c:ptCount val="2"/>
                <c:pt idx="0">
                  <c:v>98.306355669388807</c:v>
                </c:pt>
                <c:pt idx="1">
                  <c:v>98.306355669388807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29-4AC5-99A7-D38F61C5D527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Natrium!$E$57:$E$58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Natrium!$J$57:$J$58</c:f>
              <c:numCache>
                <c:formatCode>0.000</c:formatCode>
                <c:ptCount val="2"/>
                <c:pt idx="0">
                  <c:v>101.17509891498089</c:v>
                </c:pt>
                <c:pt idx="1">
                  <c:v>101.17509891498089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29-4AC5-99A7-D38F61C5D527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Natrium!$G$122:$G$123</c:f>
              <c:numCache>
                <c:formatCode>d/m/yyyy;@</c:formatCode>
                <c:ptCount val="2"/>
                <c:pt idx="0">
                  <c:v>27</c:v>
                </c:pt>
                <c:pt idx="1">
                  <c:v>42696</c:v>
                </c:pt>
              </c:numCache>
            </c:numRef>
          </c:xVal>
          <c:yVal>
            <c:numRef>
              <c:f>Natrium!$I$122:$I$123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29-4AC5-99A7-D38F61C5D527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Natrium!$G$122:$G$123</c:f>
              <c:numCache>
                <c:formatCode>d/m/yyyy;@</c:formatCode>
                <c:ptCount val="2"/>
                <c:pt idx="0">
                  <c:v>27</c:v>
                </c:pt>
                <c:pt idx="1">
                  <c:v>42696</c:v>
                </c:pt>
              </c:numCache>
            </c:numRef>
          </c:xVal>
          <c:yVal>
            <c:numRef>
              <c:f>Natrium!$J$122:$J$123</c:f>
              <c:numCache>
                <c:formatCode>General</c:formatCode>
                <c:ptCount val="2"/>
                <c:pt idx="0">
                  <c:v>-127.41114470646814</c:v>
                </c:pt>
                <c:pt idx="1">
                  <c:v>73.598147820606073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29-4AC5-99A7-D38F61C5D527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Natrium!$E$57:$E$58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Natrium!$G$57:$G$58</c:f>
              <c:numCache>
                <c:formatCode>0.000</c:formatCode>
                <c:ptCount val="2"/>
                <c:pt idx="0">
                  <c:v>26.328426939306858</c:v>
                </c:pt>
                <c:pt idx="1">
                  <c:v>26.328426939306858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29-4AC5-99A7-D38F61C5D527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Natrium!$E$57:$E$58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Natrium!$H$57:$H$58</c:f>
              <c:numCache>
                <c:formatCode>0.000</c:formatCode>
                <c:ptCount val="2"/>
                <c:pt idx="0">
                  <c:v>105.03391640375774</c:v>
                </c:pt>
                <c:pt idx="1">
                  <c:v>105.03391640375774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29-4AC5-99A7-D38F61C5D527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Natrium!$E$57:$E$58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Natrium!$K$57:$K$58</c:f>
              <c:numCache>
                <c:formatCode>0.000</c:formatCode>
                <c:ptCount val="2"/>
                <c:pt idx="0">
                  <c:v>115.4800746937412</c:v>
                </c:pt>
                <c:pt idx="1">
                  <c:v>115.4800746937412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E29-4AC5-99A7-D38F61C5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05984"/>
        <c:axId val="134507520"/>
      </c:scatterChart>
      <c:valAx>
        <c:axId val="134505984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4507520"/>
        <c:crossesAt val="0"/>
        <c:crossBetween val="midCat"/>
        <c:majorUnit val="1461"/>
        <c:minorUnit val="365.25"/>
      </c:valAx>
      <c:valAx>
        <c:axId val="134507520"/>
        <c:scaling>
          <c:orientation val="minMax"/>
          <c:max val="15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4505984"/>
        <c:crossesAt val="0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'frei 2'!$M$3:$M$252</c:f>
              <c:numCache>
                <c:formatCode>d/m/yyyy;@</c:formatCode>
                <c:ptCount val="25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</c:numCache>
            </c:numRef>
          </c:xVal>
          <c:yVal>
            <c:numRef>
              <c:f>'frei 2'!$N$3:$N$252</c:f>
              <c:numCache>
                <c:formatCode>General</c:formatCode>
                <c:ptCount val="25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10</c:v>
                </c:pt>
                <c:pt idx="5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BE-4505-9084-AE77632B79F0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2'!$E$57:$E$58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2'!$F$57:$F$58</c:f>
              <c:numCache>
                <c:formatCode>0.000</c:formatCode>
                <c:ptCount val="2"/>
                <c:pt idx="0">
                  <c:v>11.706967594057749</c:v>
                </c:pt>
                <c:pt idx="1">
                  <c:v>11.706967594057749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BE-4505-9084-AE77632B79F0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2'!$E$57:$E$58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2'!$J$57:$J$58</c:f>
              <c:numCache>
                <c:formatCode>0.000</c:formatCode>
                <c:ptCount val="2"/>
                <c:pt idx="0">
                  <c:v>11.485344225747488</c:v>
                </c:pt>
                <c:pt idx="1">
                  <c:v>11.485344225747488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BE-4505-9084-AE77632B79F0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'frei 2'!$G$122:$G$123</c:f>
              <c:numCache>
                <c:formatCode>d/m/yyyy;@</c:formatCode>
                <c:ptCount val="2"/>
                <c:pt idx="0">
                  <c:v>8</c:v>
                </c:pt>
                <c:pt idx="1">
                  <c:v>38353</c:v>
                </c:pt>
              </c:numCache>
            </c:numRef>
          </c:xVal>
          <c:yVal>
            <c:numRef>
              <c:f>'frei 2'!$I$122:$I$123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BE-4505-9084-AE77632B79F0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'frei 2'!$G$122:$G$123</c:f>
              <c:numCache>
                <c:formatCode>d/m/yyyy;@</c:formatCode>
                <c:ptCount val="2"/>
                <c:pt idx="0">
                  <c:v>8</c:v>
                </c:pt>
                <c:pt idx="1">
                  <c:v>38353</c:v>
                </c:pt>
              </c:numCache>
            </c:numRef>
          </c:xVal>
          <c:yVal>
            <c:numRef>
              <c:f>'frei 2'!$J$122:$J$123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BE-4505-9084-AE77632B79F0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2'!$E$57:$E$58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2'!$G$57:$G$58</c:f>
              <c:numCache>
                <c:formatCode>0.000</c:formatCode>
                <c:ptCount val="2"/>
                <c:pt idx="0">
                  <c:v>6.9596990726089176</c:v>
                </c:pt>
                <c:pt idx="1">
                  <c:v>6.9596990726089176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BE-4505-9084-AE77632B79F0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2'!$E$57:$E$58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2'!$H$57:$H$58</c:f>
              <c:numCache>
                <c:formatCode>0.000</c:formatCode>
                <c:ptCount val="2"/>
                <c:pt idx="0">
                  <c:v>12.150680519170821</c:v>
                </c:pt>
                <c:pt idx="1">
                  <c:v>12.150680519170821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BE-4505-9084-AE77632B79F0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'frei 2'!$E$57:$E$58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2'!$K$57:$K$58</c:f>
              <c:numCache>
                <c:formatCode>0.000</c:formatCode>
                <c:ptCount val="2"/>
                <c:pt idx="0">
                  <c:v>12.114525493039908</c:v>
                </c:pt>
                <c:pt idx="1">
                  <c:v>12.114525493039908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BE-4505-9084-AE77632B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70720"/>
        <c:axId val="157472256"/>
      </c:scatterChart>
      <c:valAx>
        <c:axId val="157470720"/>
        <c:scaling>
          <c:orientation val="minMax"/>
          <c:max val="38717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472256"/>
        <c:crossesAt val="0"/>
        <c:crossBetween val="midCat"/>
        <c:majorUnit val="1461"/>
        <c:minorUnit val="365.25"/>
      </c:valAx>
      <c:valAx>
        <c:axId val="157472256"/>
        <c:scaling>
          <c:orientation val="minMax"/>
          <c:max val="15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470720"/>
        <c:crossesAt val="0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3'!$F$63:$F$113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3'!$G$63:$G$113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98-4753-A2B0-D6E80F0CAD6D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3'!$I$63:$I$113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3'!$J$63:$J$113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98-4753-A2B0-D6E80F0CAD6D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'frei 3'!$T$46:$T$97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xVal>
          <c:yVal>
            <c:numRef>
              <c:f>'frei 3'!$U$46:$U$97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98-4753-A2B0-D6E80F0CAD6D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3'!$U$3:$V$3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398-4753-A2B0-D6E80F0CAD6D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3'!$U$4:$V$4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398-4753-A2B0-D6E80F0CAD6D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3'!$U$5:$V$5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98-4753-A2B0-D6E80F0CAD6D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3'!$U$6:$V$6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398-4753-A2B0-D6E80F0CAD6D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3'!$U$7:$V$7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398-4753-A2B0-D6E80F0CAD6D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3'!$U$8:$V$8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398-4753-A2B0-D6E80F0CAD6D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'frei 3'!$U$11:$V$11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398-4753-A2B0-D6E80F0CA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91008"/>
        <c:axId val="158917376"/>
      </c:scatterChart>
      <c:valAx>
        <c:axId val="158891008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8917376"/>
        <c:crosses val="autoZero"/>
        <c:crossBetween val="midCat"/>
        <c:majorUnit val="20"/>
        <c:minorUnit val="5"/>
      </c:valAx>
      <c:valAx>
        <c:axId val="158917376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8891008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'frei 3'!$M$3:$M$252</c:f>
              <c:numCache>
                <c:formatCode>d/m/yyyy;@</c:formatCode>
                <c:ptCount val="250"/>
              </c:numCache>
            </c:numRef>
          </c:xVal>
          <c:yVal>
            <c:numRef>
              <c:f>'frei 3'!$N$3:$N$252</c:f>
              <c:numCache>
                <c:formatCode>General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63-4C39-B30B-057C446CA026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3'!$E$57:$E$58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3'!$F$57:$F$58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63-4C39-B30B-057C446CA026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3'!$E$57:$E$58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3'!$J$57:$J$58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63-4C39-B30B-057C446CA026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'frei 3'!$G$122:$G$123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63-4C39-B30B-057C446CA026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'frei 3'!$G$122:$G$123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3'!$J$122:$J$123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63-4C39-B30B-057C446CA026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3'!$E$57:$E$58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3'!$G$57:$G$58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63-4C39-B30B-057C446CA026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3'!$E$57:$E$58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3'!$H$57:$H$58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63-4C39-B30B-057C446CA026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'frei 3'!$E$57:$E$58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3'!$K$57:$K$58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63-4C39-B30B-057C446CA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67296"/>
        <c:axId val="158968832"/>
      </c:scatterChart>
      <c:valAx>
        <c:axId val="158967296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8968832"/>
        <c:crossesAt val="0"/>
        <c:crossBetween val="midCat"/>
        <c:majorUnit val="1461"/>
        <c:minorUnit val="365.25"/>
      </c:valAx>
      <c:valAx>
        <c:axId val="158968832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8967296"/>
        <c:crossesAt val="0"/>
        <c:crossBetween val="midCat"/>
        <c:majorUnit val="2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4'!$F$63:$F$113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4'!$G$63:$G$113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AC-4AC3-B892-52604610446C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4'!$I$63:$I$113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4'!$J$63:$J$113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AC-4AC3-B892-52604610446C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'frei 4'!$T$46:$T$97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xVal>
          <c:yVal>
            <c:numRef>
              <c:f>'frei 4'!$U$46:$U$97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AC-4AC3-B892-52604610446C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4'!$U$3:$V$3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AC-4AC3-B892-52604610446C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4'!$U$4:$V$4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AC-4AC3-B892-52604610446C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4'!$U$5:$V$5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9AC-4AC3-B892-52604610446C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4'!$U$6:$V$6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9AC-4AC3-B892-52604610446C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4'!$U$7:$V$7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9AC-4AC3-B892-52604610446C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4'!$U$8:$V$8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9AC-4AC3-B892-52604610446C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'frei 4'!$U$11:$V$11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9AC-4AC3-B892-526046104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493120"/>
        <c:axId val="155494656"/>
      </c:scatterChart>
      <c:valAx>
        <c:axId val="155493120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5494656"/>
        <c:crosses val="autoZero"/>
        <c:crossBetween val="midCat"/>
        <c:majorUnit val="20"/>
        <c:minorUnit val="5"/>
      </c:valAx>
      <c:valAx>
        <c:axId val="155494656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5493120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'frei 4'!$M$3:$M$252</c:f>
              <c:numCache>
                <c:formatCode>d/m/yyyy;@</c:formatCode>
                <c:ptCount val="250"/>
              </c:numCache>
            </c:numRef>
          </c:xVal>
          <c:yVal>
            <c:numRef>
              <c:f>'frei 4'!$N$3:$N$252</c:f>
              <c:numCache>
                <c:formatCode>General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8-4A61-9DBA-73C57D2A538A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4'!$E$57:$E$58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4'!$F$57:$F$58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8-4A61-9DBA-73C57D2A538A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4'!$E$57:$E$58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4'!$J$57:$J$58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8-4A61-9DBA-73C57D2A538A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'frei 4'!$G$122:$G$123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88-4A61-9DBA-73C57D2A538A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'frei 4'!$G$122:$G$123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4'!$J$122:$J$123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88-4A61-9DBA-73C57D2A538A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4'!$E$57:$E$58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4'!$G$57:$G$58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88-4A61-9DBA-73C57D2A538A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4'!$E$57:$E$58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4'!$H$57:$H$58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88-4A61-9DBA-73C57D2A538A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'frei 4'!$E$57:$E$58</c:f>
              <c:numCache>
                <c:formatCode>m/d/yyyy</c:formatCode>
                <c:ptCount val="2"/>
                <c:pt idx="0">
                  <c:v>1</c:v>
                </c:pt>
                <c:pt idx="1">
                  <c:v>73415</c:v>
                </c:pt>
              </c:numCache>
            </c:numRef>
          </c:xVal>
          <c:yVal>
            <c:numRef>
              <c:f>'frei 4'!$K$57:$K$58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88-4A61-9DBA-73C57D2A5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34240"/>
        <c:axId val="157852416"/>
      </c:scatterChart>
      <c:valAx>
        <c:axId val="157834240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852416"/>
        <c:crossesAt val="0"/>
        <c:crossBetween val="midCat"/>
        <c:majorUnit val="1461"/>
        <c:minorUnit val="365.25"/>
      </c:valAx>
      <c:valAx>
        <c:axId val="157852416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7834240"/>
        <c:crossesAt val="0"/>
        <c:crossBetween val="midCat"/>
        <c:majorUnit val="2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5'!$F$63:$F$113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5'!$G$63:$G$113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F8-43B1-971E-C27794CFA4FD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5'!$I$63:$I$113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xVal>
          <c:yVal>
            <c:numRef>
              <c:f>'frei 5'!$J$63:$J$113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F8-43B1-971E-C27794CFA4FD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'frei 5'!$T$46:$T$97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xVal>
          <c:yVal>
            <c:numRef>
              <c:f>'frei 5'!$U$46:$U$97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F8-43B1-971E-C27794CFA4FD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5'!$U$3:$V$3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F8-43B1-971E-C27794CFA4FD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5'!$U$4:$V$4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F8-43B1-971E-C27794CFA4FD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5'!$U$5:$V$5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F8-43B1-971E-C27794CFA4FD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'frei 5'!$U$6:$V$6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5F8-43B1-971E-C27794CFA4FD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5'!$U$7:$V$7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F8-43B1-971E-C27794CFA4FD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5'!$U$8:$V$8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5F8-43B1-971E-C27794CFA4FD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'frei 5'!$U$11:$V$11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5F8-43B1-971E-C27794CFA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98144"/>
        <c:axId val="159399936"/>
      </c:scatterChart>
      <c:valAx>
        <c:axId val="159398144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9399936"/>
        <c:crosses val="autoZero"/>
        <c:crossBetween val="midCat"/>
        <c:majorUnit val="20"/>
        <c:minorUnit val="5"/>
      </c:valAx>
      <c:valAx>
        <c:axId val="159399936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9398144"/>
        <c:crosses val="autoZero"/>
        <c:crossBetween val="midCat"/>
        <c:majorUnit val="5.000000000000001E-2"/>
        <c:minorUnit val="1.0000000000000002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'frei 5'!$M$3:$M$252</c:f>
              <c:numCache>
                <c:formatCode>d/m/yyyy;@</c:formatCode>
                <c:ptCount val="250"/>
              </c:numCache>
            </c:numRef>
          </c:xVal>
          <c:yVal>
            <c:numRef>
              <c:f>'frei 5'!$N$3:$N$252</c:f>
              <c:numCache>
                <c:formatCode>General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0E-41D2-8730-A436A214D962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5'!$E$57:$E$58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5'!$F$57:$F$58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0E-41D2-8730-A436A214D962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'frei 5'!$E$57:$E$58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5'!$J$57:$J$58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0E-41D2-8730-A436A214D962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'frei 5'!$G$122:$G$123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0E-41D2-8730-A436A214D962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'frei 5'!$G$122:$G$123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'frei 5'!$J$122:$J$123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0E-41D2-8730-A436A214D962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'frei 5'!$E$57:$E$58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5'!$G$57:$G$58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0E-41D2-8730-A436A214D962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'frei 5'!$E$57:$E$58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5'!$H$57:$H$58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50E-41D2-8730-A436A214D962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'frei 5'!$E$57:$E$58</c:f>
              <c:numCache>
                <c:formatCode>m/d/yyyy</c:formatCode>
                <c:ptCount val="2"/>
                <c:pt idx="0">
                  <c:v>36161</c:v>
                </c:pt>
                <c:pt idx="1">
                  <c:v>44196</c:v>
                </c:pt>
              </c:numCache>
            </c:numRef>
          </c:xVal>
          <c:yVal>
            <c:numRef>
              <c:f>'frei 5'!$K$57:$K$58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50E-41D2-8730-A436A214D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58048"/>
        <c:axId val="159459584"/>
      </c:scatterChart>
      <c:valAx>
        <c:axId val="159458048"/>
        <c:scaling>
          <c:orientation val="minMax"/>
          <c:max val="46022"/>
          <c:min val="35796"/>
        </c:scaling>
        <c:delete val="0"/>
        <c:axPos val="b"/>
        <c:numFmt formatCode="[$-407]mmm/\ yy;@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9459584"/>
        <c:crossesAt val="0"/>
        <c:crossBetween val="midCat"/>
        <c:majorUnit val="1461"/>
        <c:minorUnit val="365.25"/>
      </c:valAx>
      <c:valAx>
        <c:axId val="159459584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59458048"/>
        <c:crossesAt val="0"/>
        <c:crossBetween val="midCat"/>
        <c:majorUnit val="2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076923077"/>
          <c:y val="9.2198900843932993E-2"/>
          <c:w val="0.80769230769230771"/>
          <c:h val="0.85106677702091993"/>
        </c:manualLayout>
      </c:layout>
      <c:scatterChart>
        <c:scatterStyle val="lineMarker"/>
        <c:varyColors val="0"/>
        <c:ser>
          <c:idx val="0"/>
          <c:order val="0"/>
          <c:tx>
            <c:v>Residuen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xVal>
            <c:numRef>
              <c:f>'trend 1'!$P$3:$P$252</c:f>
              <c:numCache>
                <c:formatCode>d/m/yyyy;@</c:formatCode>
                <c:ptCount val="250"/>
                <c:pt idx="0">
                  <c:v>33344</c:v>
                </c:pt>
                <c:pt idx="1">
                  <c:v>33444</c:v>
                </c:pt>
                <c:pt idx="2">
                  <c:v>33526</c:v>
                </c:pt>
                <c:pt idx="3">
                  <c:v>33616</c:v>
                </c:pt>
                <c:pt idx="4">
                  <c:v>33701</c:v>
                </c:pt>
                <c:pt idx="5">
                  <c:v>33772</c:v>
                </c:pt>
                <c:pt idx="6">
                  <c:v>33872</c:v>
                </c:pt>
                <c:pt idx="7">
                  <c:v>33989</c:v>
                </c:pt>
                <c:pt idx="8">
                  <c:v>34075</c:v>
                </c:pt>
                <c:pt idx="9">
                  <c:v>34159</c:v>
                </c:pt>
                <c:pt idx="10">
                  <c:v>34263</c:v>
                </c:pt>
                <c:pt idx="11">
                  <c:v>34348</c:v>
                </c:pt>
                <c:pt idx="12">
                  <c:v>34429</c:v>
                </c:pt>
                <c:pt idx="13">
                  <c:v>34611</c:v>
                </c:pt>
                <c:pt idx="14">
                  <c:v>34704</c:v>
                </c:pt>
                <c:pt idx="15">
                  <c:v>34795</c:v>
                </c:pt>
                <c:pt idx="16">
                  <c:v>34886</c:v>
                </c:pt>
                <c:pt idx="17">
                  <c:v>34988</c:v>
                </c:pt>
                <c:pt idx="18">
                  <c:v>35068</c:v>
                </c:pt>
                <c:pt idx="19">
                  <c:v>35164</c:v>
                </c:pt>
                <c:pt idx="20">
                  <c:v>35249</c:v>
                </c:pt>
                <c:pt idx="21">
                  <c:v>35361</c:v>
                </c:pt>
                <c:pt idx="22">
                  <c:v>35443</c:v>
                </c:pt>
                <c:pt idx="23">
                  <c:v>35538</c:v>
                </c:pt>
                <c:pt idx="24">
                  <c:v>35622</c:v>
                </c:pt>
                <c:pt idx="25">
                  <c:v>35725</c:v>
                </c:pt>
                <c:pt idx="26">
                  <c:v>35803</c:v>
                </c:pt>
                <c:pt idx="27">
                  <c:v>35891</c:v>
                </c:pt>
                <c:pt idx="28">
                  <c:v>35978</c:v>
                </c:pt>
                <c:pt idx="29">
                  <c:v>36217</c:v>
                </c:pt>
                <c:pt idx="30">
                  <c:v>36258</c:v>
                </c:pt>
                <c:pt idx="31">
                  <c:v>36355</c:v>
                </c:pt>
                <c:pt idx="32">
                  <c:v>36453</c:v>
                </c:pt>
                <c:pt idx="33">
                  <c:v>36635</c:v>
                </c:pt>
                <c:pt idx="34">
                  <c:v>36712</c:v>
                </c:pt>
                <c:pt idx="35">
                  <c:v>36811</c:v>
                </c:pt>
                <c:pt idx="36">
                  <c:v>36907</c:v>
                </c:pt>
                <c:pt idx="37">
                  <c:v>36985</c:v>
                </c:pt>
                <c:pt idx="38">
                  <c:v>37082</c:v>
                </c:pt>
                <c:pt idx="39">
                  <c:v>37173</c:v>
                </c:pt>
                <c:pt idx="40">
                  <c:v>37264</c:v>
                </c:pt>
                <c:pt idx="41">
                  <c:v>37348</c:v>
                </c:pt>
                <c:pt idx="42">
                  <c:v>37445</c:v>
                </c:pt>
                <c:pt idx="43">
                  <c:v>37531</c:v>
                </c:pt>
                <c:pt idx="44">
                  <c:v>37712</c:v>
                </c:pt>
                <c:pt idx="45">
                  <c:v>37811</c:v>
                </c:pt>
                <c:pt idx="46">
                  <c:v>37909</c:v>
                </c:pt>
              </c:numCache>
            </c:numRef>
          </c:xVal>
          <c:yVal>
            <c:numRef>
              <c:f>'trend 1'!$S$3:$S$252</c:f>
              <c:numCache>
                <c:formatCode>0.0000</c:formatCode>
                <c:ptCount val="250"/>
                <c:pt idx="0">
                  <c:v>-4.2345269153002088E-2</c:v>
                </c:pt>
                <c:pt idx="1">
                  <c:v>1.1543578267125973E-2</c:v>
                </c:pt>
                <c:pt idx="2">
                  <c:v>7.371243315163109E-2</c:v>
                </c:pt>
                <c:pt idx="3">
                  <c:v>4.6312395829746666E-2</c:v>
                </c:pt>
                <c:pt idx="4">
                  <c:v>-7.1732083863144683E-2</c:v>
                </c:pt>
                <c:pt idx="5">
                  <c:v>-9.1781002194853523E-2</c:v>
                </c:pt>
                <c:pt idx="6">
                  <c:v>0.53210784522527454</c:v>
                </c:pt>
                <c:pt idx="7">
                  <c:v>0.35078779670682453</c:v>
                </c:pt>
                <c:pt idx="8">
                  <c:v>-3.9327794511865369E-2</c:v>
                </c:pt>
                <c:pt idx="9">
                  <c:v>-7.9301162678957732E-2</c:v>
                </c:pt>
                <c:pt idx="10">
                  <c:v>-8.6967613620242412E-3</c:v>
                </c:pt>
                <c:pt idx="11">
                  <c:v>-9.6741241054915578E-2</c:v>
                </c:pt>
                <c:pt idx="12">
                  <c:v>-0.13750127464461148</c:v>
                </c:pt>
                <c:pt idx="13">
                  <c:v>1.7556427660021717E-2</c:v>
                </c:pt>
                <c:pt idx="14">
                  <c:v>-0.12005694423925919</c:v>
                </c:pt>
                <c:pt idx="15">
                  <c:v>-5.1528093086942603E-2</c:v>
                </c:pt>
                <c:pt idx="16">
                  <c:v>-0.11899924193462602</c:v>
                </c:pt>
                <c:pt idx="17">
                  <c:v>0.17974738243390453</c:v>
                </c:pt>
                <c:pt idx="18">
                  <c:v>-4.9941539629992815E-2</c:v>
                </c:pt>
                <c:pt idx="19">
                  <c:v>0.14923175389333027</c:v>
                </c:pt>
                <c:pt idx="20">
                  <c:v>-9.6812725799561114E-2</c:v>
                </c:pt>
                <c:pt idx="21">
                  <c:v>-0.1407772166890176</c:v>
                </c:pt>
                <c:pt idx="22">
                  <c:v>-9.9608361804512477E-2</c:v>
                </c:pt>
                <c:pt idx="23">
                  <c:v>-0.14436395675539088</c:v>
                </c:pt>
                <c:pt idx="24">
                  <c:v>-0.16733732492248282</c:v>
                </c:pt>
                <c:pt idx="25">
                  <c:v>-0.14366181207975123</c:v>
                </c:pt>
                <c:pt idx="26">
                  <c:v>-0.12220851109205109</c:v>
                </c:pt>
                <c:pt idx="27">
                  <c:v>-0.15446632536233848</c:v>
                </c:pt>
                <c:pt idx="28">
                  <c:v>-0.21265302810682687</c:v>
                </c:pt>
                <c:pt idx="29">
                  <c:v>-6.7648682772720459E-2</c:v>
                </c:pt>
                <c:pt idx="30">
                  <c:v>5.5435744669531883E-2</c:v>
                </c:pt>
                <c:pt idx="31">
                  <c:v>0.20853792666705639</c:v>
                </c:pt>
                <c:pt idx="32">
                  <c:v>-3.3431002861218029E-2</c:v>
                </c:pt>
                <c:pt idx="33">
                  <c:v>0.20862669944341516</c:v>
                </c:pt>
                <c:pt idx="34">
                  <c:v>8.7151111956913829E-2</c:v>
                </c:pt>
                <c:pt idx="35">
                  <c:v>0.11111107090284039</c:v>
                </c:pt>
                <c:pt idx="36">
                  <c:v>-0.31071563557383652</c:v>
                </c:pt>
                <c:pt idx="37">
                  <c:v>-0.11226233458613641</c:v>
                </c:pt>
                <c:pt idx="38">
                  <c:v>0.25283984741138765</c:v>
                </c:pt>
                <c:pt idx="39">
                  <c:v>0.31236869856370431</c:v>
                </c:pt>
                <c:pt idx="40">
                  <c:v>-0.23810245028397914</c:v>
                </c:pt>
                <c:pt idx="41">
                  <c:v>0.5239241815489285</c:v>
                </c:pt>
                <c:pt idx="42">
                  <c:v>0.61802636354645302</c:v>
                </c:pt>
                <c:pt idx="43">
                  <c:v>-0.32008922767223685</c:v>
                </c:pt>
                <c:pt idx="44">
                  <c:v>-0.25496041384180512</c:v>
                </c:pt>
                <c:pt idx="45">
                  <c:v>-8.9000454895878101E-2</c:v>
                </c:pt>
                <c:pt idx="46">
                  <c:v>-0.12296938442415251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05-4D95-8B82-1CB3C4AB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23072"/>
        <c:axId val="158324992"/>
      </c:scatterChart>
      <c:valAx>
        <c:axId val="158323072"/>
        <c:scaling>
          <c:orientation val="minMax"/>
          <c:max val="39447"/>
          <c:min val="32874"/>
        </c:scaling>
        <c:delete val="0"/>
        <c:axPos val="b"/>
        <c:numFmt formatCode="[$-407]mmmmm\ yy;@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324992"/>
        <c:crosses val="autoZero"/>
        <c:crossBetween val="midCat"/>
        <c:majorUnit val="1461"/>
        <c:minorUnit val="365.25"/>
      </c:valAx>
      <c:valAx>
        <c:axId val="158324992"/>
        <c:scaling>
          <c:orientation val="minMax"/>
          <c:max val="1"/>
          <c:min val="-1"/>
        </c:scaling>
        <c:delete val="0"/>
        <c:axPos val="l"/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323072"/>
        <c:crosses val="autoZero"/>
        <c:crossBetween val="midCat"/>
        <c:majorUnit val="0.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98973042362001E-2"/>
          <c:y val="5.8787131222331111E-2"/>
          <c:w val="0.90115532734274706"/>
          <c:h val="0.8534956574634179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'trend 1'!$P$3:$P$252</c:f>
              <c:numCache>
                <c:formatCode>d/m/yyyy;@</c:formatCode>
                <c:ptCount val="250"/>
                <c:pt idx="0">
                  <c:v>33344</c:v>
                </c:pt>
                <c:pt idx="1">
                  <c:v>33444</c:v>
                </c:pt>
                <c:pt idx="2">
                  <c:v>33526</c:v>
                </c:pt>
                <c:pt idx="3">
                  <c:v>33616</c:v>
                </c:pt>
                <c:pt idx="4">
                  <c:v>33701</c:v>
                </c:pt>
                <c:pt idx="5">
                  <c:v>33772</c:v>
                </c:pt>
                <c:pt idx="6">
                  <c:v>33872</c:v>
                </c:pt>
                <c:pt idx="7">
                  <c:v>33989</c:v>
                </c:pt>
                <c:pt idx="8">
                  <c:v>34075</c:v>
                </c:pt>
                <c:pt idx="9">
                  <c:v>34159</c:v>
                </c:pt>
                <c:pt idx="10">
                  <c:v>34263</c:v>
                </c:pt>
                <c:pt idx="11">
                  <c:v>34348</c:v>
                </c:pt>
                <c:pt idx="12">
                  <c:v>34429</c:v>
                </c:pt>
                <c:pt idx="13">
                  <c:v>34611</c:v>
                </c:pt>
                <c:pt idx="14">
                  <c:v>34704</c:v>
                </c:pt>
                <c:pt idx="15">
                  <c:v>34795</c:v>
                </c:pt>
                <c:pt idx="16">
                  <c:v>34886</c:v>
                </c:pt>
                <c:pt idx="17">
                  <c:v>34988</c:v>
                </c:pt>
                <c:pt idx="18">
                  <c:v>35068</c:v>
                </c:pt>
                <c:pt idx="19">
                  <c:v>35164</c:v>
                </c:pt>
                <c:pt idx="20">
                  <c:v>35249</c:v>
                </c:pt>
                <c:pt idx="21">
                  <c:v>35361</c:v>
                </c:pt>
                <c:pt idx="22">
                  <c:v>35443</c:v>
                </c:pt>
                <c:pt idx="23">
                  <c:v>35538</c:v>
                </c:pt>
                <c:pt idx="24">
                  <c:v>35622</c:v>
                </c:pt>
                <c:pt idx="25">
                  <c:v>35725</c:v>
                </c:pt>
                <c:pt idx="26">
                  <c:v>35803</c:v>
                </c:pt>
                <c:pt idx="27">
                  <c:v>35891</c:v>
                </c:pt>
                <c:pt idx="28">
                  <c:v>35978</c:v>
                </c:pt>
                <c:pt idx="29">
                  <c:v>36217</c:v>
                </c:pt>
                <c:pt idx="30">
                  <c:v>36258</c:v>
                </c:pt>
                <c:pt idx="31">
                  <c:v>36355</c:v>
                </c:pt>
                <c:pt idx="32">
                  <c:v>36453</c:v>
                </c:pt>
                <c:pt idx="33">
                  <c:v>36635</c:v>
                </c:pt>
                <c:pt idx="34">
                  <c:v>36712</c:v>
                </c:pt>
                <c:pt idx="35">
                  <c:v>36811</c:v>
                </c:pt>
                <c:pt idx="36">
                  <c:v>36907</c:v>
                </c:pt>
                <c:pt idx="37">
                  <c:v>36985</c:v>
                </c:pt>
                <c:pt idx="38">
                  <c:v>37082</c:v>
                </c:pt>
                <c:pt idx="39">
                  <c:v>37173</c:v>
                </c:pt>
                <c:pt idx="40">
                  <c:v>37264</c:v>
                </c:pt>
                <c:pt idx="41">
                  <c:v>37348</c:v>
                </c:pt>
                <c:pt idx="42">
                  <c:v>37445</c:v>
                </c:pt>
                <c:pt idx="43">
                  <c:v>37531</c:v>
                </c:pt>
                <c:pt idx="44">
                  <c:v>37712</c:v>
                </c:pt>
                <c:pt idx="45">
                  <c:v>37811</c:v>
                </c:pt>
                <c:pt idx="46">
                  <c:v>37909</c:v>
                </c:pt>
              </c:numCache>
            </c:numRef>
          </c:xVal>
          <c:yVal>
            <c:numRef>
              <c:f>'trend 1'!$Q$3:$Q$252</c:f>
              <c:numCache>
                <c:formatCode>0.00</c:formatCode>
                <c:ptCount val="250"/>
                <c:pt idx="0">
                  <c:v>2.1000000000000001E-2</c:v>
                </c:pt>
                <c:pt idx="1">
                  <c:v>8.2000000000000003E-2</c:v>
                </c:pt>
                <c:pt idx="2">
                  <c:v>0.15</c:v>
                </c:pt>
                <c:pt idx="3">
                  <c:v>0.129</c:v>
                </c:pt>
                <c:pt idx="4">
                  <c:v>1.7000000000000001E-2</c:v>
                </c:pt>
                <c:pt idx="5">
                  <c:v>2E-3</c:v>
                </c:pt>
                <c:pt idx="6">
                  <c:v>0.63300000000000001</c:v>
                </c:pt>
                <c:pt idx="7">
                  <c:v>0.46</c:v>
                </c:pt>
                <c:pt idx="8">
                  <c:v>7.5999999999999998E-2</c:v>
                </c:pt>
                <c:pt idx="9">
                  <c:v>4.2000000000000003E-2</c:v>
                </c:pt>
                <c:pt idx="10">
                  <c:v>0.12</c:v>
                </c:pt>
                <c:pt idx="11">
                  <c:v>3.7999999999999999E-2</c:v>
                </c:pt>
                <c:pt idx="12">
                  <c:v>3.0000000000000001E-3</c:v>
                </c:pt>
                <c:pt idx="13">
                  <c:v>0.17100000000000001</c:v>
                </c:pt>
                <c:pt idx="14">
                  <c:v>0.04</c:v>
                </c:pt>
                <c:pt idx="15">
                  <c:v>0.115</c:v>
                </c:pt>
                <c:pt idx="16">
                  <c:v>5.3999999999999999E-2</c:v>
                </c:pt>
                <c:pt idx="17">
                  <c:v>0.36</c:v>
                </c:pt>
                <c:pt idx="18">
                  <c:v>0.13600000000000001</c:v>
                </c:pt>
                <c:pt idx="19">
                  <c:v>0.34200000000000003</c:v>
                </c:pt>
                <c:pt idx="20">
                  <c:v>0.10199999999999999</c:v>
                </c:pt>
                <c:pt idx="21">
                  <c:v>6.6000000000000003E-2</c:v>
                </c:pt>
                <c:pt idx="22">
                  <c:v>0.113</c:v>
                </c:pt>
                <c:pt idx="23">
                  <c:v>7.4999999999999997E-2</c:v>
                </c:pt>
                <c:pt idx="24">
                  <c:v>5.8000000000000003E-2</c:v>
                </c:pt>
                <c:pt idx="25">
                  <c:v>8.8999999999999996E-2</c:v>
                </c:pt>
                <c:pt idx="26">
                  <c:v>0.11600000000000001</c:v>
                </c:pt>
                <c:pt idx="27">
                  <c:v>0.09</c:v>
                </c:pt>
                <c:pt idx="28">
                  <c:v>3.7999999999999999E-2</c:v>
                </c:pt>
                <c:pt idx="29">
                  <c:v>0.2</c:v>
                </c:pt>
                <c:pt idx="30">
                  <c:v>0.32600000000000001</c:v>
                </c:pt>
                <c:pt idx="31">
                  <c:v>0.48599999999999999</c:v>
                </c:pt>
                <c:pt idx="32">
                  <c:v>0.251</c:v>
                </c:pt>
                <c:pt idx="33">
                  <c:v>0.50600000000000001</c:v>
                </c:pt>
                <c:pt idx="34">
                  <c:v>0.39</c:v>
                </c:pt>
                <c:pt idx="35">
                  <c:v>0.42099999999999999</c:v>
                </c:pt>
                <c:pt idx="36">
                  <c:v>6.0000000000000001E-3</c:v>
                </c:pt>
                <c:pt idx="37">
                  <c:v>0.21</c:v>
                </c:pt>
                <c:pt idx="38">
                  <c:v>0.58199999999999996</c:v>
                </c:pt>
                <c:pt idx="39">
                  <c:v>0.64800000000000002</c:v>
                </c:pt>
                <c:pt idx="40">
                  <c:v>0.104</c:v>
                </c:pt>
                <c:pt idx="41">
                  <c:v>0.872</c:v>
                </c:pt>
                <c:pt idx="42">
                  <c:v>0.97299999999999998</c:v>
                </c:pt>
                <c:pt idx="43">
                  <c:v>4.1000000000000002E-2</c:v>
                </c:pt>
                <c:pt idx="44">
                  <c:v>0.11899999999999999</c:v>
                </c:pt>
                <c:pt idx="45">
                  <c:v>0.29199999999999998</c:v>
                </c:pt>
                <c:pt idx="46">
                  <c:v>0.26500000000000001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77-4A11-B019-61AA60F018F0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'trend 1'!$A$102:$A$104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31649.605270976808</c:v>
                </c:pt>
                <c:pt idx="2">
                  <c:v>44196</c:v>
                </c:pt>
              </c:numCache>
            </c:numRef>
          </c:xVal>
          <c:yVal>
            <c:numRef>
              <c:f>'trend 1'!$D$102:$D$104</c:f>
              <c:numCache>
                <c:formatCode>0.000</c:formatCode>
                <c:ptCount val="3"/>
                <c:pt idx="0">
                  <c:v>-1.961619535444834</c:v>
                </c:pt>
                <c:pt idx="1">
                  <c:v>0.28896107477569632</c:v>
                </c:pt>
                <c:pt idx="2" formatCode="0.0000">
                  <c:v>1.1811543472295365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77-4A11-B019-61AA60F018F0}"/>
            </c:ext>
          </c:extLst>
        </c:ser>
        <c:ser>
          <c:idx val="2"/>
          <c:order val="2"/>
          <c:tx>
            <c:v>AS Zustrom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1'!$A$102:$A$104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31649.605270976808</c:v>
                </c:pt>
                <c:pt idx="2">
                  <c:v>44196</c:v>
                </c:pt>
              </c:numCache>
            </c:numRef>
          </c:xVal>
          <c:yVal>
            <c:numRef>
              <c:f>'trend 1'!$C$102:$C$104</c:f>
              <c:numCache>
                <c:formatCode>0.000</c:formatCode>
                <c:ptCount val="3"/>
                <c:pt idx="0">
                  <c:v>0.75</c:v>
                </c:pt>
                <c:pt idx="1">
                  <c:v>0.75</c:v>
                </c:pt>
                <c:pt idx="2" formatCode="0.0000">
                  <c:v>1.6421932724538402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77-4A11-B019-61AA60F018F0}"/>
            </c:ext>
          </c:extLst>
        </c:ser>
        <c:ser>
          <c:idx val="7"/>
          <c:order val="3"/>
          <c:tx>
            <c:v>vager Trend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'trend 1'!$B$113:$B$114</c:f>
              <c:numCache>
                <c:formatCode>d/m/yyyy;@</c:formatCode>
                <c:ptCount val="2"/>
                <c:pt idx="0">
                  <c:v>1</c:v>
                </c:pt>
                <c:pt idx="1">
                  <c:v>37909</c:v>
                </c:pt>
              </c:numCache>
            </c:numRef>
          </c:xVal>
          <c:yVal>
            <c:numRef>
              <c:f>'trend 1'!$D$113:$D$114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77-4A11-B019-61AA60F018F0}"/>
            </c:ext>
          </c:extLst>
        </c:ser>
        <c:ser>
          <c:idx val="8"/>
          <c:order val="4"/>
          <c:tx>
            <c:v>Trendlinie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'trend 1'!$B$113:$B$114</c:f>
              <c:numCache>
                <c:formatCode>d/m/yyyy;@</c:formatCode>
                <c:ptCount val="2"/>
                <c:pt idx="0">
                  <c:v>1</c:v>
                </c:pt>
                <c:pt idx="1">
                  <c:v>37909</c:v>
                </c:pt>
              </c:numCache>
            </c:numRef>
          </c:xVal>
          <c:yVal>
            <c:numRef>
              <c:f>'trend 1'!$E$113:$E$114</c:f>
              <c:numCache>
                <c:formatCode>General</c:formatCode>
                <c:ptCount val="2"/>
                <c:pt idx="0">
                  <c:v>-2.3077263355536739</c:v>
                </c:pt>
                <c:pt idx="1">
                  <c:v>0.38796938442415252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77-4A11-B019-61AA60F018F0}"/>
            </c:ext>
          </c:extLst>
        </c:ser>
        <c:ser>
          <c:idx val="3"/>
          <c:order val="5"/>
          <c:tx>
            <c:v>Vorschlag AS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'trend 1'!$B$35:$C$35</c:f>
              <c:numCache>
                <c:formatCode>m/d/yyyy</c:formatCode>
                <c:ptCount val="2"/>
                <c:pt idx="0">
                  <c:v>38353</c:v>
                </c:pt>
                <c:pt idx="1">
                  <c:v>39233</c:v>
                </c:pt>
              </c:numCache>
            </c:numRef>
          </c:xVal>
          <c:yVal>
            <c:numRef>
              <c:f>'trend 1'!$E$106:$E$107</c:f>
              <c:numCache>
                <c:formatCode>0.0000</c:formatCode>
                <c:ptCount val="2"/>
                <c:pt idx="0">
                  <c:v>1.2465998544355683</c:v>
                </c:pt>
                <c:pt idx="1">
                  <c:v>1.2465998544355683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77-4A11-B019-61AA60F018F0}"/>
            </c:ext>
          </c:extLst>
        </c:ser>
        <c:ser>
          <c:idx val="4"/>
          <c:order val="6"/>
          <c:tx>
            <c:v>Geltungsspanne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1'!$B$105:$B$106</c:f>
              <c:numCache>
                <c:formatCode>m/d/yyyy</c:formatCode>
                <c:ptCount val="2"/>
                <c:pt idx="0">
                  <c:v>39233</c:v>
                </c:pt>
                <c:pt idx="1">
                  <c:v>39233</c:v>
                </c:pt>
              </c:numCache>
            </c:numRef>
          </c:xVal>
          <c:yVal>
            <c:numRef>
              <c:f>'trend 1'!$C$105:$C$106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77-4A11-B019-61AA60F018F0}"/>
            </c:ext>
          </c:extLst>
        </c:ser>
        <c:ser>
          <c:idx val="6"/>
          <c:order val="7"/>
          <c:tx>
            <c:v>Geltungsspanneu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1'!$A$105:$A$106</c:f>
              <c:numCache>
                <c:formatCode>m/d/yyyy</c:formatCode>
                <c:ptCount val="2"/>
                <c:pt idx="0">
                  <c:v>38353</c:v>
                </c:pt>
                <c:pt idx="1">
                  <c:v>38353</c:v>
                </c:pt>
              </c:numCache>
            </c:numRef>
          </c:xVal>
          <c:yVal>
            <c:numRef>
              <c:f>'trend 1'!$C$105:$C$106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77-4A11-B019-61AA60F018F0}"/>
            </c:ext>
          </c:extLst>
        </c:ser>
        <c:ser>
          <c:idx val="9"/>
          <c:order val="8"/>
          <c:tx>
            <c:v>Projektionswert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'trend 1'!$B$35:$C$35</c:f>
              <c:numCache>
                <c:formatCode>m/d/yyyy</c:formatCode>
                <c:ptCount val="2"/>
                <c:pt idx="0">
                  <c:v>38353</c:v>
                </c:pt>
                <c:pt idx="1">
                  <c:v>39233</c:v>
                </c:pt>
              </c:numCache>
            </c:numRef>
          </c:xVal>
          <c:yVal>
            <c:numRef>
              <c:f>'trend 1'!$E$102:$E$103</c:f>
              <c:numCache>
                <c:formatCode>0.000</c:formatCode>
                <c:ptCount val="2"/>
                <c:pt idx="0">
                  <c:v>1.1840217117326959</c:v>
                </c:pt>
                <c:pt idx="1">
                  <c:v>1.2465998544355683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77-4A11-B019-61AA60F018F0}"/>
            </c:ext>
          </c:extLst>
        </c:ser>
        <c:ser>
          <c:idx val="10"/>
          <c:order val="9"/>
          <c:tx>
            <c:v>AS abgesichert</c:v>
          </c:tx>
          <c:spPr>
            <a:ln w="3175">
              <a:solidFill>
                <a:srgbClr val="3366FF"/>
              </a:solidFill>
              <a:prstDash val="lgDashDot"/>
            </a:ln>
          </c:spPr>
          <c:marker>
            <c:symbol val="square"/>
            <c:size val="8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'trend 1'!$F$102:$F$103</c:f>
              <c:numCache>
                <c:formatCode>m/d/yyyy</c:formatCode>
                <c:ptCount val="2"/>
                <c:pt idx="0">
                  <c:v>37909</c:v>
                </c:pt>
                <c:pt idx="1">
                  <c:v>44196</c:v>
                </c:pt>
              </c:numCache>
            </c:numRef>
          </c:xVal>
          <c:yVal>
            <c:numRef>
              <c:f>'trend 1'!$G$102:$G$103</c:f>
              <c:numCache>
                <c:formatCode>0.0000</c:formatCode>
                <c:ptCount val="2"/>
                <c:pt idx="0">
                  <c:v>1.1951151097572961</c:v>
                </c:pt>
                <c:pt idx="1">
                  <c:v>1.1951151097572961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77-4A11-B019-61AA60F018F0}"/>
            </c:ext>
          </c:extLst>
        </c:ser>
        <c:ser>
          <c:idx val="5"/>
          <c:order val="10"/>
          <c:tx>
            <c:v>AS Abstrom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1'!$B$102:$B$104</c:f>
              <c:numCache>
                <c:formatCode>m/d/yyyy</c:formatCode>
                <c:ptCount val="3"/>
                <c:pt idx="0">
                  <c:v>601</c:v>
                </c:pt>
                <c:pt idx="1">
                  <c:v>32249.605270976808</c:v>
                </c:pt>
                <c:pt idx="2">
                  <c:v>44796</c:v>
                </c:pt>
              </c:numCache>
            </c:numRef>
          </c:xVal>
          <c:yVal>
            <c:numRef>
              <c:f>'trend 1'!$C$102:$C$104</c:f>
              <c:numCache>
                <c:formatCode>0.000</c:formatCode>
                <c:ptCount val="3"/>
                <c:pt idx="0">
                  <c:v>0.75</c:v>
                </c:pt>
                <c:pt idx="1">
                  <c:v>0.75</c:v>
                </c:pt>
                <c:pt idx="2" formatCode="0.0000">
                  <c:v>1.6421932724538402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177-4A11-B019-61AA60F0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438912"/>
        <c:axId val="158440448"/>
      </c:scatterChart>
      <c:valAx>
        <c:axId val="158438912"/>
        <c:scaling>
          <c:orientation val="minMax"/>
          <c:max val="42369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40448"/>
        <c:crossesAt val="0"/>
        <c:crossBetween val="midCat"/>
        <c:majorUnit val="1461"/>
        <c:minorUnit val="365.25"/>
      </c:valAx>
      <c:valAx>
        <c:axId val="158440448"/>
        <c:scaling>
          <c:orientation val="minMax"/>
          <c:max val="1.5"/>
          <c:min val="0"/>
        </c:scaling>
        <c:delete val="0"/>
        <c:axPos val="l"/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38912"/>
        <c:crosses val="autoZero"/>
        <c:crossBetween val="midCat"/>
        <c:majorUnit val="0.5"/>
      </c:valAx>
    </c:plotArea>
    <c:legend>
      <c:legendPos val="r"/>
      <c:legendEntry>
        <c:idx val="3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0412721014663584"/>
          <c:y val="3.7045385421242943E-2"/>
          <c:w val="0.37314847470413504"/>
          <c:h val="0.17590956709810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1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076923077"/>
          <c:y val="9.2198900843932993E-2"/>
          <c:w val="0.80769230769230771"/>
          <c:h val="0.85106677702091993"/>
        </c:manualLayout>
      </c:layout>
      <c:scatterChart>
        <c:scatterStyle val="lineMarker"/>
        <c:varyColors val="0"/>
        <c:ser>
          <c:idx val="0"/>
          <c:order val="0"/>
          <c:tx>
            <c:v>Residuen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xVal>
            <c:numRef>
              <c:f>'trend 2'!$P$3:$P$252</c:f>
              <c:numCache>
                <c:formatCode>d/m/yyyy;@</c:formatCode>
                <c:ptCount val="250"/>
                <c:pt idx="0">
                  <c:v>33344</c:v>
                </c:pt>
                <c:pt idx="1">
                  <c:v>33444</c:v>
                </c:pt>
                <c:pt idx="2">
                  <c:v>33526</c:v>
                </c:pt>
                <c:pt idx="3">
                  <c:v>33616</c:v>
                </c:pt>
                <c:pt idx="4">
                  <c:v>33701</c:v>
                </c:pt>
                <c:pt idx="5">
                  <c:v>33772</c:v>
                </c:pt>
                <c:pt idx="6">
                  <c:v>33872</c:v>
                </c:pt>
                <c:pt idx="7">
                  <c:v>33989</c:v>
                </c:pt>
                <c:pt idx="8">
                  <c:v>34075</c:v>
                </c:pt>
                <c:pt idx="9">
                  <c:v>34159</c:v>
                </c:pt>
                <c:pt idx="10">
                  <c:v>34263</c:v>
                </c:pt>
                <c:pt idx="11">
                  <c:v>34348</c:v>
                </c:pt>
                <c:pt idx="12">
                  <c:v>34429</c:v>
                </c:pt>
                <c:pt idx="13">
                  <c:v>34611</c:v>
                </c:pt>
                <c:pt idx="14">
                  <c:v>34704</c:v>
                </c:pt>
                <c:pt idx="15">
                  <c:v>34795</c:v>
                </c:pt>
                <c:pt idx="16">
                  <c:v>34886</c:v>
                </c:pt>
                <c:pt idx="17">
                  <c:v>34988</c:v>
                </c:pt>
                <c:pt idx="18">
                  <c:v>35068</c:v>
                </c:pt>
                <c:pt idx="19">
                  <c:v>35164</c:v>
                </c:pt>
                <c:pt idx="20">
                  <c:v>35249</c:v>
                </c:pt>
                <c:pt idx="21">
                  <c:v>35361</c:v>
                </c:pt>
                <c:pt idx="22">
                  <c:v>35443</c:v>
                </c:pt>
                <c:pt idx="23">
                  <c:v>35538</c:v>
                </c:pt>
                <c:pt idx="24">
                  <c:v>35622</c:v>
                </c:pt>
                <c:pt idx="25">
                  <c:v>35725</c:v>
                </c:pt>
                <c:pt idx="26">
                  <c:v>35803</c:v>
                </c:pt>
                <c:pt idx="27">
                  <c:v>35891</c:v>
                </c:pt>
                <c:pt idx="28">
                  <c:v>35978</c:v>
                </c:pt>
                <c:pt idx="29">
                  <c:v>36096</c:v>
                </c:pt>
                <c:pt idx="30">
                  <c:v>36217</c:v>
                </c:pt>
                <c:pt idx="31">
                  <c:v>36258</c:v>
                </c:pt>
                <c:pt idx="32">
                  <c:v>36355</c:v>
                </c:pt>
                <c:pt idx="33">
                  <c:v>36453</c:v>
                </c:pt>
                <c:pt idx="34">
                  <c:v>36530</c:v>
                </c:pt>
                <c:pt idx="35">
                  <c:v>36635</c:v>
                </c:pt>
                <c:pt idx="36">
                  <c:v>36712</c:v>
                </c:pt>
                <c:pt idx="37">
                  <c:v>36811</c:v>
                </c:pt>
              </c:numCache>
            </c:numRef>
          </c:xVal>
          <c:yVal>
            <c:numRef>
              <c:f>'trend 2'!$S$3:$S$252</c:f>
              <c:numCache>
                <c:formatCode>0.0000</c:formatCode>
                <c:ptCount val="250"/>
                <c:pt idx="0">
                  <c:v>0.55366119390432544</c:v>
                </c:pt>
                <c:pt idx="1">
                  <c:v>0.1732890885857401</c:v>
                </c:pt>
                <c:pt idx="2">
                  <c:v>0.91738396222450547</c:v>
                </c:pt>
                <c:pt idx="3">
                  <c:v>3.5950490674377598</c:v>
                </c:pt>
                <c:pt idx="4">
                  <c:v>4.8517327779169754</c:v>
                </c:pt>
                <c:pt idx="5">
                  <c:v>8.0496685831407788</c:v>
                </c:pt>
                <c:pt idx="6">
                  <c:v>-3.0307035221778378</c:v>
                </c:pt>
                <c:pt idx="7">
                  <c:v>-2.3397388854005889</c:v>
                </c:pt>
                <c:pt idx="8">
                  <c:v>-1.578858895974566</c:v>
                </c:pt>
                <c:pt idx="9">
                  <c:v>-3.7263714644421846</c:v>
                </c:pt>
                <c:pt idx="10">
                  <c:v>-1.5899584539735141</c:v>
                </c:pt>
                <c:pt idx="11">
                  <c:v>-3.4332747434943265</c:v>
                </c:pt>
                <c:pt idx="12">
                  <c:v>-4.1933761488023951</c:v>
                </c:pt>
                <c:pt idx="13">
                  <c:v>-5.9296533804822165</c:v>
                </c:pt>
                <c:pt idx="14">
                  <c:v>-3.5393994384285126</c:v>
                </c:pt>
                <c:pt idx="15">
                  <c:v>-2.1575380542684233</c:v>
                </c:pt>
                <c:pt idx="16">
                  <c:v>-2.7756766701083624</c:v>
                </c:pt>
                <c:pt idx="17">
                  <c:v>1.3523437824666935</c:v>
                </c:pt>
                <c:pt idx="18">
                  <c:v>-1.0119539017881838</c:v>
                </c:pt>
                <c:pt idx="19">
                  <c:v>-0.80911112289402887</c:v>
                </c:pt>
                <c:pt idx="20">
                  <c:v>7.547572587585158</c:v>
                </c:pt>
                <c:pt idx="21">
                  <c:v>1.1175558296283441</c:v>
                </c:pt>
                <c:pt idx="22">
                  <c:v>1.8616507032670828</c:v>
                </c:pt>
                <c:pt idx="23">
                  <c:v>5.3602972032144294</c:v>
                </c:pt>
                <c:pt idx="24">
                  <c:v>2.5127846347468115</c:v>
                </c:pt>
                <c:pt idx="25">
                  <c:v>1.8450013662686437</c:v>
                </c:pt>
                <c:pt idx="26">
                  <c:v>2.872311124120154</c:v>
                </c:pt>
                <c:pt idx="27">
                  <c:v>-0.75841632856020702</c:v>
                </c:pt>
                <c:pt idx="28">
                  <c:v>0.30665993981262396</c:v>
                </c:pt>
                <c:pt idx="29">
                  <c:v>-7.1981791444633192</c:v>
                </c:pt>
                <c:pt idx="30">
                  <c:v>2.7095706081011883</c:v>
                </c:pt>
                <c:pt idx="31">
                  <c:v>-2.8183819550794285</c:v>
                </c:pt>
                <c:pt idx="32">
                  <c:v>-1.1342897238467486E-2</c:v>
                </c:pt>
                <c:pt idx="33">
                  <c:v>5.8998924395493013</c:v>
                </c:pt>
                <c:pt idx="34">
                  <c:v>-1.7769940815459959</c:v>
                </c:pt>
                <c:pt idx="35">
                  <c:v>-2.2363847921305195</c:v>
                </c:pt>
                <c:pt idx="36">
                  <c:v>1.3867286867741537</c:v>
                </c:pt>
                <c:pt idx="37">
                  <c:v>-1.9978396974912416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C8-4119-A24C-2280B86FF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502912"/>
        <c:axId val="158504832"/>
      </c:scatterChart>
      <c:valAx>
        <c:axId val="158502912"/>
        <c:scaling>
          <c:orientation val="minMax"/>
          <c:max val="39447"/>
          <c:min val="32874"/>
        </c:scaling>
        <c:delete val="0"/>
        <c:axPos val="b"/>
        <c:numFmt formatCode="[$-407]mmmmm\ yy;@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504832"/>
        <c:crosses val="autoZero"/>
        <c:crossBetween val="midCat"/>
        <c:majorUnit val="1461"/>
        <c:minorUnit val="365.25"/>
      </c:valAx>
      <c:valAx>
        <c:axId val="158504832"/>
        <c:scaling>
          <c:orientation val="minMax"/>
          <c:max val="10"/>
          <c:min val="-10"/>
        </c:scaling>
        <c:delete val="0"/>
        <c:axPos val="l"/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502912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Kalium!$F$63:$F$113</c:f>
              <c:numCache>
                <c:formatCode>General</c:formatCode>
                <c:ptCount val="51"/>
                <c:pt idx="0">
                  <c:v>-6.9310866227673609</c:v>
                </c:pt>
                <c:pt idx="1">
                  <c:v>-6.4122083752479702</c:v>
                </c:pt>
                <c:pt idx="2">
                  <c:v>-5.8933301277285794</c:v>
                </c:pt>
                <c:pt idx="3">
                  <c:v>-5.3744518802091923</c:v>
                </c:pt>
                <c:pt idx="4">
                  <c:v>-4.8555736326898016</c:v>
                </c:pt>
                <c:pt idx="5">
                  <c:v>-4.3366953851704109</c:v>
                </c:pt>
                <c:pt idx="6">
                  <c:v>-3.8178171376510202</c:v>
                </c:pt>
                <c:pt idx="7">
                  <c:v>-3.2989388901316312</c:v>
                </c:pt>
                <c:pt idx="8">
                  <c:v>-2.7800606426122405</c:v>
                </c:pt>
                <c:pt idx="9">
                  <c:v>-2.2611823950928516</c:v>
                </c:pt>
                <c:pt idx="10">
                  <c:v>-1.7423041475734609</c:v>
                </c:pt>
                <c:pt idx="11">
                  <c:v>-1.2234259000540701</c:v>
                </c:pt>
                <c:pt idx="12">
                  <c:v>-0.70454765253468121</c:v>
                </c:pt>
                <c:pt idx="13">
                  <c:v>-0.1856694050152905</c:v>
                </c:pt>
                <c:pt idx="14">
                  <c:v>0.33320884250409843</c:v>
                </c:pt>
                <c:pt idx="15">
                  <c:v>0.85208709002348915</c:v>
                </c:pt>
                <c:pt idx="16">
                  <c:v>1.370965337542879</c:v>
                </c:pt>
                <c:pt idx="17">
                  <c:v>1.8898435850622688</c:v>
                </c:pt>
                <c:pt idx="18">
                  <c:v>2.4087218325816595</c:v>
                </c:pt>
                <c:pt idx="19">
                  <c:v>2.9276000801010493</c:v>
                </c:pt>
                <c:pt idx="20">
                  <c:v>3.4464783276204392</c:v>
                </c:pt>
                <c:pt idx="21">
                  <c:v>3.965356575139829</c:v>
                </c:pt>
                <c:pt idx="22">
                  <c:v>4.4842348226592197</c:v>
                </c:pt>
                <c:pt idx="23">
                  <c:v>5.0031130701786086</c:v>
                </c:pt>
                <c:pt idx="24">
                  <c:v>5.5219913176979993</c:v>
                </c:pt>
                <c:pt idx="25">
                  <c:v>6.0408695652173892</c:v>
                </c:pt>
                <c:pt idx="26">
                  <c:v>6.559747812736779</c:v>
                </c:pt>
                <c:pt idx="27">
                  <c:v>7.0786260602561697</c:v>
                </c:pt>
                <c:pt idx="28">
                  <c:v>7.5975043077755586</c:v>
                </c:pt>
                <c:pt idx="29">
                  <c:v>8.116382555294976</c:v>
                </c:pt>
                <c:pt idx="30">
                  <c:v>8.6352608028143649</c:v>
                </c:pt>
                <c:pt idx="31">
                  <c:v>9.1541390503337556</c:v>
                </c:pt>
                <c:pt idx="32">
                  <c:v>9.6730172978531446</c:v>
                </c:pt>
                <c:pt idx="33">
                  <c:v>10.191895545372535</c:v>
                </c:pt>
                <c:pt idx="34">
                  <c:v>10.710773792891924</c:v>
                </c:pt>
                <c:pt idx="35">
                  <c:v>11.229652040411317</c:v>
                </c:pt>
                <c:pt idx="36">
                  <c:v>11.748530287930706</c:v>
                </c:pt>
                <c:pt idx="37">
                  <c:v>12.267408535450095</c:v>
                </c:pt>
                <c:pt idx="38">
                  <c:v>12.786286782969484</c:v>
                </c:pt>
                <c:pt idx="39">
                  <c:v>13.305165030488876</c:v>
                </c:pt>
                <c:pt idx="40">
                  <c:v>13.824043278008265</c:v>
                </c:pt>
                <c:pt idx="41">
                  <c:v>14.342921525527654</c:v>
                </c:pt>
                <c:pt idx="42">
                  <c:v>14.861799773047046</c:v>
                </c:pt>
                <c:pt idx="43">
                  <c:v>15.380678020566435</c:v>
                </c:pt>
                <c:pt idx="44">
                  <c:v>15.899556268085824</c:v>
                </c:pt>
                <c:pt idx="45">
                  <c:v>16.418434515605213</c:v>
                </c:pt>
                <c:pt idx="46">
                  <c:v>16.937312763124606</c:v>
                </c:pt>
                <c:pt idx="47">
                  <c:v>17.456191010643995</c:v>
                </c:pt>
                <c:pt idx="48">
                  <c:v>17.975069258163387</c:v>
                </c:pt>
                <c:pt idx="49">
                  <c:v>18.493947505682772</c:v>
                </c:pt>
                <c:pt idx="50">
                  <c:v>19.01282575320214</c:v>
                </c:pt>
              </c:numCache>
            </c:numRef>
          </c:xVal>
          <c:yVal>
            <c:numRef>
              <c:f>Kalium!$G$63:$G$113</c:f>
              <c:numCache>
                <c:formatCode>General</c:formatCode>
                <c:ptCount val="51"/>
                <c:pt idx="0">
                  <c:v>5.7305139378722579E-7</c:v>
                </c:pt>
                <c:pt idx="1">
                  <c:v>1.5268703631227267E-6</c:v>
                </c:pt>
                <c:pt idx="2">
                  <c:v>3.9087597577918532E-6</c:v>
                </c:pt>
                <c:pt idx="3">
                  <c:v>9.6139976610298974E-6</c:v>
                </c:pt>
                <c:pt idx="4">
                  <c:v>2.2719421381925325E-5</c:v>
                </c:pt>
                <c:pt idx="5">
                  <c:v>5.1584442556491731E-5</c:v>
                </c:pt>
                <c:pt idx="6">
                  <c:v>1.1253003076817186E-4</c:v>
                </c:pt>
                <c:pt idx="7">
                  <c:v>2.3585568793415483E-4</c:v>
                </c:pt>
                <c:pt idx="8">
                  <c:v>4.7495503014971659E-4</c:v>
                </c:pt>
                <c:pt idx="9">
                  <c:v>9.1893935151935585E-4</c:v>
                </c:pt>
                <c:pt idx="10">
                  <c:v>1.7082421292954251E-3</c:v>
                </c:pt>
                <c:pt idx="11">
                  <c:v>3.0509860919479669E-3</c:v>
                </c:pt>
                <c:pt idx="12">
                  <c:v>5.2355130702132708E-3</c:v>
                </c:pt>
                <c:pt idx="13">
                  <c:v>8.631901761889155E-3</c:v>
                </c:pt>
                <c:pt idx="14">
                  <c:v>1.3673571022036637E-2</c:v>
                </c:pt>
                <c:pt idx="15">
                  <c:v>2.0810649423560763E-2</c:v>
                </c:pt>
                <c:pt idx="16">
                  <c:v>3.0431091948191123E-2</c:v>
                </c:pt>
                <c:pt idx="17">
                  <c:v>4.2754089310830294E-2</c:v>
                </c:pt>
                <c:pt idx="18">
                  <c:v>5.7711984016115339E-2</c:v>
                </c:pt>
                <c:pt idx="19">
                  <c:v>7.4848408431674104E-2</c:v>
                </c:pt>
                <c:pt idx="20">
                  <c:v>9.3266860068209403E-2</c:v>
                </c:pt>
                <c:pt idx="21">
                  <c:v>0.1116607042775125</c:v>
                </c:pt>
                <c:pt idx="22">
                  <c:v>0.12844038249236778</c:v>
                </c:pt>
                <c:pt idx="23">
                  <c:v>0.14194857543707742</c:v>
                </c:pt>
                <c:pt idx="24">
                  <c:v>0.15072618512913977</c:v>
                </c:pt>
                <c:pt idx="25">
                  <c:v>0.15377105604586927</c:v>
                </c:pt>
                <c:pt idx="26">
                  <c:v>0.15072618512913977</c:v>
                </c:pt>
                <c:pt idx="27">
                  <c:v>0.14194857543707742</c:v>
                </c:pt>
                <c:pt idx="28">
                  <c:v>0.12844038249236778</c:v>
                </c:pt>
                <c:pt idx="29">
                  <c:v>0.1116607042775116</c:v>
                </c:pt>
                <c:pt idx="30">
                  <c:v>9.3266860068208474E-2</c:v>
                </c:pt>
                <c:pt idx="31">
                  <c:v>7.4848408431673188E-2</c:v>
                </c:pt>
                <c:pt idx="32">
                  <c:v>5.7711984016114555E-2</c:v>
                </c:pt>
                <c:pt idx="33">
                  <c:v>4.2754089310829614E-2</c:v>
                </c:pt>
                <c:pt idx="34">
                  <c:v>3.0431091948190603E-2</c:v>
                </c:pt>
                <c:pt idx="35">
                  <c:v>2.0810649423560316E-2</c:v>
                </c:pt>
                <c:pt idx="36">
                  <c:v>1.3673571022036327E-2</c:v>
                </c:pt>
                <c:pt idx="37">
                  <c:v>8.6319017618889538E-3</c:v>
                </c:pt>
                <c:pt idx="38">
                  <c:v>5.235513070213145E-3</c:v>
                </c:pt>
                <c:pt idx="39">
                  <c:v>3.0509860919478759E-3</c:v>
                </c:pt>
                <c:pt idx="40">
                  <c:v>1.7082421292953752E-3</c:v>
                </c:pt>
                <c:pt idx="41">
                  <c:v>9.1893935151932734E-4</c:v>
                </c:pt>
                <c:pt idx="42">
                  <c:v>4.7495503014969843E-4</c:v>
                </c:pt>
                <c:pt idx="43">
                  <c:v>2.3585568793414621E-4</c:v>
                </c:pt>
                <c:pt idx="44">
                  <c:v>1.1253003076816758E-4</c:v>
                </c:pt>
                <c:pt idx="45">
                  <c:v>5.1584442556489718E-5</c:v>
                </c:pt>
                <c:pt idx="46">
                  <c:v>2.2719421381924315E-5</c:v>
                </c:pt>
                <c:pt idx="47">
                  <c:v>9.6139976610294857E-6</c:v>
                </c:pt>
                <c:pt idx="48">
                  <c:v>3.9087597577916448E-6</c:v>
                </c:pt>
                <c:pt idx="49">
                  <c:v>1.5268703631226562E-6</c:v>
                </c:pt>
                <c:pt idx="50">
                  <c:v>5.7305139378722367E-7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C8-49A3-A9F2-9712873E88A3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Kalium!$I$63:$I$113</c:f>
              <c:numCache>
                <c:formatCode>General</c:formatCode>
                <c:ptCount val="51"/>
                <c:pt idx="0">
                  <c:v>0.34853896188864408</c:v>
                </c:pt>
                <c:pt idx="1">
                  <c:v>0.38879266710154053</c:v>
                </c:pt>
                <c:pt idx="2">
                  <c:v>0.43369538135086283</c:v>
                </c:pt>
                <c:pt idx="3">
                  <c:v>0.48378403123520469</c:v>
                </c:pt>
                <c:pt idx="4">
                  <c:v>0.53965755445488583</c:v>
                </c:pt>
                <c:pt idx="5">
                  <c:v>0.6019840616414196</c:v>
                </c:pt>
                <c:pt idx="6">
                  <c:v>0.67150882532599676</c:v>
                </c:pt>
                <c:pt idx="7">
                  <c:v>0.74906319157549284</c:v>
                </c:pt>
                <c:pt idx="8">
                  <c:v>0.83557452085736772</c:v>
                </c:pt>
                <c:pt idx="9">
                  <c:v>0.93207727700187526</c:v>
                </c:pt>
                <c:pt idx="10">
                  <c:v>1.0397253968584439</c:v>
                </c:pt>
                <c:pt idx="11">
                  <c:v>1.1598060885570476</c:v>
                </c:pt>
                <c:pt idx="12">
                  <c:v>1.2937552233680183</c:v>
                </c:pt>
                <c:pt idx="13">
                  <c:v>1.4431745052092837</c:v>
                </c:pt>
                <c:pt idx="14">
                  <c:v>1.6098506231063194</c:v>
                </c:pt>
                <c:pt idx="15">
                  <c:v>1.7957766156213932</c:v>
                </c:pt>
                <c:pt idx="16">
                  <c:v>2.0031757027183805</c:v>
                </c:pt>
                <c:pt idx="17">
                  <c:v>2.2345278700339675</c:v>
                </c:pt>
                <c:pt idx="18">
                  <c:v>2.4925995234380611</c:v>
                </c:pt>
                <c:pt idx="19">
                  <c:v>2.780476568479409</c:v>
                </c:pt>
                <c:pt idx="20">
                  <c:v>3.1016013102656523</c:v>
                </c:pt>
                <c:pt idx="21">
                  <c:v>3.4598136150100962</c:v>
                </c:pt>
                <c:pt idx="22">
                  <c:v>3.8593968254365918</c:v>
                </c:pt>
                <c:pt idx="23">
                  <c:v>4.3051289790784217</c:v>
                </c:pt>
                <c:pt idx="24">
                  <c:v>4.8023399419167401</c:v>
                </c:pt>
                <c:pt idx="25">
                  <c:v>5.3569751405370791</c:v>
                </c:pt>
                <c:pt idx="26">
                  <c:v>5.9756666548845887</c:v>
                </c:pt>
                <c:pt idx="27">
                  <c:v>6.6658125217134208</c:v>
                </c:pt>
                <c:pt idx="28">
                  <c:v>7.4356651970054708</c:v>
                </c:pt>
                <c:pt idx="29">
                  <c:v>8.2944302351526158</c:v>
                </c:pt>
                <c:pt idx="30">
                  <c:v>9.2523763648637658</c:v>
                </c:pt>
                <c:pt idx="31">
                  <c:v>10.320958278035899</c:v>
                </c:pt>
                <c:pt idx="32">
                  <c:v>11.512953599842696</c:v>
                </c:pt>
                <c:pt idx="33">
                  <c:v>12.842615677868533</c:v>
                </c:pt>
                <c:pt idx="34">
                  <c:v>14.32584401727183</c:v>
                </c:pt>
                <c:pt idx="35">
                  <c:v>15.980374399965283</c:v>
                </c:pt>
                <c:pt idx="36">
                  <c:v>17.825990961173268</c:v>
                </c:pt>
                <c:pt idx="37">
                  <c:v>19.88476275928312</c:v>
                </c:pt>
                <c:pt idx="38">
                  <c:v>22.181307667786918</c:v>
                </c:pt>
                <c:pt idx="39">
                  <c:v>24.743086744815685</c:v>
                </c:pt>
                <c:pt idx="40">
                  <c:v>27.600732600205468</c:v>
                </c:pt>
                <c:pt idx="41">
                  <c:v>30.788415686561862</c:v>
                </c:pt>
                <c:pt idx="42">
                  <c:v>34.344252894268209</c:v>
                </c:pt>
                <c:pt idx="43">
                  <c:v>38.31076333623345</c:v>
                </c:pt>
                <c:pt idx="44">
                  <c:v>42.73537677245092</c:v>
                </c:pt>
                <c:pt idx="45">
                  <c:v>47.671000753880904</c:v>
                </c:pt>
                <c:pt idx="46">
                  <c:v>53.176653267310883</c:v>
                </c:pt>
                <c:pt idx="47">
                  <c:v>59.318168446077763</c:v>
                </c:pt>
                <c:pt idx="48">
                  <c:v>66.168983785225493</c:v>
                </c:pt>
                <c:pt idx="49">
                  <c:v>73.811018274265948</c:v>
                </c:pt>
                <c:pt idx="50">
                  <c:v>82.33565194786118</c:v>
                </c:pt>
              </c:numCache>
            </c:numRef>
          </c:xVal>
          <c:yVal>
            <c:numRef>
              <c:f>Kalium!$J$63:$J$113</c:f>
              <c:numCache>
                <c:formatCode>General</c:formatCode>
                <c:ptCount val="51"/>
                <c:pt idx="0">
                  <c:v>7.8055351568841687E-6</c:v>
                </c:pt>
                <c:pt idx="1">
                  <c:v>1.8644233978245053E-5</c:v>
                </c:pt>
                <c:pt idx="2">
                  <c:v>4.2787274727042319E-5</c:v>
                </c:pt>
                <c:pt idx="3">
                  <c:v>9.4343704970600018E-5</c:v>
                </c:pt>
                <c:pt idx="4">
                  <c:v>1.998662435002586E-4</c:v>
                </c:pt>
                <c:pt idx="5">
                  <c:v>4.0681241037118608E-4</c:v>
                </c:pt>
                <c:pt idx="6">
                  <c:v>7.9556772692686078E-4</c:v>
                </c:pt>
                <c:pt idx="7">
                  <c:v>1.4948180794136299E-3</c:v>
                </c:pt>
                <c:pt idx="8">
                  <c:v>2.698533086643863E-3</c:v>
                </c:pt>
                <c:pt idx="9">
                  <c:v>4.6805336669309989E-3</c:v>
                </c:pt>
                <c:pt idx="10">
                  <c:v>7.7999392524852051E-3</c:v>
                </c:pt>
                <c:pt idx="11">
                  <c:v>1.2488644060325313E-2</c:v>
                </c:pt>
                <c:pt idx="12">
                  <c:v>1.9211778738905318E-2</c:v>
                </c:pt>
                <c:pt idx="13">
                  <c:v>2.8395406173158215E-2</c:v>
                </c:pt>
                <c:pt idx="14">
                  <c:v>4.0323369463536082E-2</c:v>
                </c:pt>
                <c:pt idx="15">
                  <c:v>5.5016602263246395E-2</c:v>
                </c:pt>
                <c:pt idx="16">
                  <c:v>7.2120534510494161E-2</c:v>
                </c:pt>
                <c:pt idx="17">
                  <c:v>9.0834813472315715E-2</c:v>
                </c:pt>
                <c:pt idx="18">
                  <c:v>0.10991929680386235</c:v>
                </c:pt>
                <c:pt idx="19">
                  <c:v>0.12779791685955605</c:v>
                </c:pt>
                <c:pt idx="20">
                  <c:v>0.14275845161680081</c:v>
                </c:pt>
                <c:pt idx="21">
                  <c:v>0.15321740541211862</c:v>
                </c:pt>
                <c:pt idx="22">
                  <c:v>0.15799472934617639</c:v>
                </c:pt>
                <c:pt idx="23">
                  <c:v>0.15653278621187464</c:v>
                </c:pt>
                <c:pt idx="24">
                  <c:v>0.14900342545300424</c:v>
                </c:pt>
                <c:pt idx="25">
                  <c:v>0.13627475512040205</c:v>
                </c:pt>
                <c:pt idx="26">
                  <c:v>0.11974648902988308</c:v>
                </c:pt>
                <c:pt idx="27">
                  <c:v>0.1010970278419122</c:v>
                </c:pt>
                <c:pt idx="28">
                  <c:v>8.2005354022652063E-2</c:v>
                </c:pt>
                <c:pt idx="29">
                  <c:v>6.391079920773024E-2</c:v>
                </c:pt>
                <c:pt idx="30">
                  <c:v>4.7855792190602313E-2</c:v>
                </c:pt>
                <c:pt idx="31">
                  <c:v>3.4428887682326041E-2</c:v>
                </c:pt>
                <c:pt idx="32">
                  <c:v>2.379795805254472E-2</c:v>
                </c:pt>
                <c:pt idx="33">
                  <c:v>1.5804640375792215E-2</c:v>
                </c:pt>
                <c:pt idx="34">
                  <c:v>1.0084578767177887E-2</c:v>
                </c:pt>
                <c:pt idx="35">
                  <c:v>6.1824288557027528E-3</c:v>
                </c:pt>
                <c:pt idx="36">
                  <c:v>3.6415704236588478E-3</c:v>
                </c:pt>
                <c:pt idx="37">
                  <c:v>2.0608506498289584E-3</c:v>
                </c:pt>
                <c:pt idx="38">
                  <c:v>1.1205533716005965E-3</c:v>
                </c:pt>
                <c:pt idx="39">
                  <c:v>5.8539201548980443E-4</c:v>
                </c:pt>
                <c:pt idx="40">
                  <c:v>2.9382535066121095E-4</c:v>
                </c:pt>
                <c:pt idx="41">
                  <c:v>1.4169677061663999E-4</c:v>
                </c:pt>
                <c:pt idx="42">
                  <c:v>6.565364801592269E-5</c:v>
                </c:pt>
                <c:pt idx="43">
                  <c:v>2.9227118018065833E-5</c:v>
                </c:pt>
                <c:pt idx="44">
                  <c:v>1.2500901831765282E-5</c:v>
                </c:pt>
                <c:pt idx="45">
                  <c:v>5.1371815831123915E-6</c:v>
                </c:pt>
                <c:pt idx="46">
                  <c:v>2.0283211063178032E-6</c:v>
                </c:pt>
                <c:pt idx="47">
                  <c:v>7.6944347925762015E-7</c:v>
                </c:pt>
                <c:pt idx="48">
                  <c:v>2.8044322835514429E-7</c:v>
                </c:pt>
                <c:pt idx="49">
                  <c:v>9.8206766739512781E-8</c:v>
                </c:pt>
                <c:pt idx="50">
                  <c:v>3.3041981890038434E-8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C8-49A3-A9F2-9712873E88A3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Kalium!$T$46:$T$97</c:f>
              <c:numCache>
                <c:formatCode>0.0</c:formatCode>
                <c:ptCount val="52"/>
                <c:pt idx="0">
                  <c:v>-5.3760000000000006E-3</c:v>
                </c:pt>
                <c:pt idx="1">
                  <c:v>5.3760000000000006E-3</c:v>
                </c:pt>
                <c:pt idx="2">
                  <c:v>0.53222400000000003</c:v>
                </c:pt>
                <c:pt idx="3">
                  <c:v>0.54297600000000013</c:v>
                </c:pt>
                <c:pt idx="4">
                  <c:v>1.0698240000000001</c:v>
                </c:pt>
                <c:pt idx="5">
                  <c:v>1.0805760000000002</c:v>
                </c:pt>
                <c:pt idx="6">
                  <c:v>1.6074240000000002</c:v>
                </c:pt>
                <c:pt idx="7">
                  <c:v>1.6181760000000003</c:v>
                </c:pt>
                <c:pt idx="8">
                  <c:v>2.1450240000000003</c:v>
                </c:pt>
                <c:pt idx="9">
                  <c:v>2.1557760000000004</c:v>
                </c:pt>
                <c:pt idx="10">
                  <c:v>2.6826240000000006</c:v>
                </c:pt>
                <c:pt idx="11">
                  <c:v>2.6933760000000007</c:v>
                </c:pt>
                <c:pt idx="12">
                  <c:v>3.2202240000000004</c:v>
                </c:pt>
                <c:pt idx="13">
                  <c:v>3.2309760000000005</c:v>
                </c:pt>
                <c:pt idx="14">
                  <c:v>3.7578240000000003</c:v>
                </c:pt>
                <c:pt idx="15">
                  <c:v>3.7685760000000004</c:v>
                </c:pt>
                <c:pt idx="16">
                  <c:v>4.2954240000000006</c:v>
                </c:pt>
                <c:pt idx="17">
                  <c:v>4.3061760000000007</c:v>
                </c:pt>
                <c:pt idx="18">
                  <c:v>4.8330240000000009</c:v>
                </c:pt>
                <c:pt idx="19">
                  <c:v>4.843776000000001</c:v>
                </c:pt>
                <c:pt idx="20">
                  <c:v>5.3706240000000012</c:v>
                </c:pt>
                <c:pt idx="21">
                  <c:v>5.3813760000000013</c:v>
                </c:pt>
                <c:pt idx="22">
                  <c:v>5.9082240000000006</c:v>
                </c:pt>
                <c:pt idx="23">
                  <c:v>5.9189760000000007</c:v>
                </c:pt>
                <c:pt idx="24">
                  <c:v>6.4458240000000009</c:v>
                </c:pt>
                <c:pt idx="25">
                  <c:v>6.456576000000001</c:v>
                </c:pt>
                <c:pt idx="26">
                  <c:v>6.9834240000000012</c:v>
                </c:pt>
                <c:pt idx="27">
                  <c:v>6.9941760000000013</c:v>
                </c:pt>
                <c:pt idx="28">
                  <c:v>7.5210240000000006</c:v>
                </c:pt>
                <c:pt idx="29">
                  <c:v>7.5317760000000007</c:v>
                </c:pt>
                <c:pt idx="30">
                  <c:v>8.0586240000000018</c:v>
                </c:pt>
                <c:pt idx="31">
                  <c:v>8.0693760000000019</c:v>
                </c:pt>
                <c:pt idx="32">
                  <c:v>8.5962240000000012</c:v>
                </c:pt>
                <c:pt idx="33">
                  <c:v>8.6069760000000013</c:v>
                </c:pt>
                <c:pt idx="34">
                  <c:v>9.1338240000000006</c:v>
                </c:pt>
                <c:pt idx="35">
                  <c:v>9.1445760000000007</c:v>
                </c:pt>
                <c:pt idx="36">
                  <c:v>9.6714240000000018</c:v>
                </c:pt>
                <c:pt idx="37">
                  <c:v>9.6821760000000019</c:v>
                </c:pt>
                <c:pt idx="38">
                  <c:v>10.209024000000001</c:v>
                </c:pt>
                <c:pt idx="39">
                  <c:v>10.219776000000001</c:v>
                </c:pt>
                <c:pt idx="40">
                  <c:v>10.746624000000002</c:v>
                </c:pt>
                <c:pt idx="41">
                  <c:v>10.757376000000002</c:v>
                </c:pt>
                <c:pt idx="42">
                  <c:v>11.284224000000002</c:v>
                </c:pt>
                <c:pt idx="43">
                  <c:v>11.294976000000002</c:v>
                </c:pt>
                <c:pt idx="44">
                  <c:v>11.821824000000001</c:v>
                </c:pt>
                <c:pt idx="45">
                  <c:v>11.832576000000001</c:v>
                </c:pt>
                <c:pt idx="46">
                  <c:v>12.359424000000002</c:v>
                </c:pt>
                <c:pt idx="47">
                  <c:v>12.370176000000003</c:v>
                </c:pt>
                <c:pt idx="48">
                  <c:v>12.897024000000002</c:v>
                </c:pt>
                <c:pt idx="49">
                  <c:v>12.907776000000002</c:v>
                </c:pt>
                <c:pt idx="50">
                  <c:v>13.434624000000001</c:v>
                </c:pt>
                <c:pt idx="51">
                  <c:v>13.445376000000001</c:v>
                </c:pt>
              </c:numCache>
            </c:numRef>
          </c:xVal>
          <c:yVal>
            <c:numRef>
              <c:f>Kalium!$U$46:$U$97</c:f>
              <c:numCache>
                <c:formatCode>0.0000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0.16174948240165629</c:v>
                </c:pt>
                <c:pt idx="8">
                  <c:v>0.16174948240165629</c:v>
                </c:pt>
                <c:pt idx="9">
                  <c:v>4.0437370600414073E-2</c:v>
                </c:pt>
                <c:pt idx="10">
                  <c:v>4.0437370600414073E-2</c:v>
                </c:pt>
                <c:pt idx="11">
                  <c:v>0</c:v>
                </c:pt>
                <c:pt idx="12">
                  <c:v>0</c:v>
                </c:pt>
                <c:pt idx="13">
                  <c:v>8.0874741200828146E-2</c:v>
                </c:pt>
                <c:pt idx="14">
                  <c:v>8.0874741200828146E-2</c:v>
                </c:pt>
                <c:pt idx="15">
                  <c:v>0.12131211180124223</c:v>
                </c:pt>
                <c:pt idx="16">
                  <c:v>0.12131211180124223</c:v>
                </c:pt>
                <c:pt idx="17">
                  <c:v>8.0874741200828146E-2</c:v>
                </c:pt>
                <c:pt idx="18">
                  <c:v>8.0874741200828146E-2</c:v>
                </c:pt>
                <c:pt idx="19">
                  <c:v>4.0437370600414073E-2</c:v>
                </c:pt>
                <c:pt idx="20">
                  <c:v>4.0437370600414073E-2</c:v>
                </c:pt>
                <c:pt idx="21">
                  <c:v>0.20218685300207037</c:v>
                </c:pt>
                <c:pt idx="22">
                  <c:v>0.20218685300207037</c:v>
                </c:pt>
                <c:pt idx="23">
                  <c:v>8.0874741200828146E-2</c:v>
                </c:pt>
                <c:pt idx="24">
                  <c:v>8.0874741200828146E-2</c:v>
                </c:pt>
                <c:pt idx="25">
                  <c:v>8.0874741200828146E-2</c:v>
                </c:pt>
                <c:pt idx="26">
                  <c:v>8.0874741200828146E-2</c:v>
                </c:pt>
                <c:pt idx="27">
                  <c:v>0.24262422360248445</c:v>
                </c:pt>
                <c:pt idx="28">
                  <c:v>0.24262422360248445</c:v>
                </c:pt>
                <c:pt idx="29">
                  <c:v>0.36393633540372666</c:v>
                </c:pt>
                <c:pt idx="30">
                  <c:v>0.36393633540372666</c:v>
                </c:pt>
                <c:pt idx="31">
                  <c:v>4.0437370600414073E-2</c:v>
                </c:pt>
                <c:pt idx="32">
                  <c:v>4.0437370600414073E-2</c:v>
                </c:pt>
                <c:pt idx="33">
                  <c:v>0.12131211180124223</c:v>
                </c:pt>
                <c:pt idx="34">
                  <c:v>0.12131211180124223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0.12131211180124223</c:v>
                </c:pt>
                <c:pt idx="40">
                  <c:v>0.12131211180124223</c:v>
                </c:pt>
                <c:pt idx="41">
                  <c:v>4.0437370600414073E-2</c:v>
                </c:pt>
                <c:pt idx="42">
                  <c:v>4.0437370600414073E-2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4.0437370600414073E-2</c:v>
                </c:pt>
                <c:pt idx="50">
                  <c:v>4.0437370600414073E-2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C8-49A3-A9F2-9712873E88A3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Kalium!$U$3:$V$3</c:f>
              <c:numCache>
                <c:formatCode>0.000</c:formatCode>
                <c:ptCount val="2"/>
                <c:pt idx="0">
                  <c:v>11.125782952713708</c:v>
                </c:pt>
                <c:pt idx="1">
                  <c:v>11.125782952713708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C8-49A3-A9F2-9712873E88A3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Kalium!$U$4:$V$4</c:f>
              <c:numCache>
                <c:formatCode>0.000</c:formatCode>
                <c:ptCount val="2"/>
                <c:pt idx="0">
                  <c:v>13.161299184560592</c:v>
                </c:pt>
                <c:pt idx="1">
                  <c:v>13.161299184560592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C8-49A3-A9F2-9712873E88A3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Kalium!$U$5:$V$5</c:f>
              <c:numCache>
                <c:formatCode>0.000</c:formatCode>
                <c:ptCount val="2"/>
                <c:pt idx="0">
                  <c:v>12.076326105231239</c:v>
                </c:pt>
                <c:pt idx="1">
                  <c:v>12.076326105231239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C8-49A3-A9F2-9712873E88A3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Kalium!$U$6:$V$6</c:f>
              <c:numCache>
                <c:formatCode>0.000</c:formatCode>
                <c:ptCount val="2"/>
                <c:pt idx="0">
                  <c:v>16.456723628247154</c:v>
                </c:pt>
                <c:pt idx="1">
                  <c:v>16.456723628247154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DC8-49A3-A9F2-9712873E88A3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Kalium!$U$7:$V$7</c:f>
              <c:numCache>
                <c:formatCode>0.000</c:formatCode>
                <c:ptCount val="2"/>
                <c:pt idx="0">
                  <c:v>0.95595617772106944</c:v>
                </c:pt>
                <c:pt idx="1">
                  <c:v>0.95595617772106944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C8-49A3-A9F2-9712873E88A3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Kalium!$U$8:$V$8</c:f>
              <c:numCache>
                <c:formatCode>0.000</c:formatCode>
                <c:ptCount val="2"/>
                <c:pt idx="0">
                  <c:v>0.60731650293733819</c:v>
                </c:pt>
                <c:pt idx="1">
                  <c:v>0.60731650293733819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DC8-49A3-A9F2-9712873E88A3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Kalium!$U$11:$V$11</c:f>
              <c:numCache>
                <c:formatCode>0.000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xVal>
          <c:yVal>
            <c:numRef>
              <c:f>Kalium!$U$2:$V$2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DC8-49A3-A9F2-9712873E8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18720"/>
        <c:axId val="133920256"/>
      </c:scatterChart>
      <c:valAx>
        <c:axId val="133918720"/>
        <c:scaling>
          <c:orientation val="minMax"/>
          <c:max val="2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3920256"/>
        <c:crosses val="autoZero"/>
        <c:crossBetween val="midCat"/>
        <c:majorUnit val="5"/>
        <c:minorUnit val="1"/>
      </c:valAx>
      <c:valAx>
        <c:axId val="133920256"/>
        <c:scaling>
          <c:orientation val="minMax"/>
          <c:max val="0.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3918720"/>
        <c:crosses val="autoZero"/>
        <c:crossBetween val="midCat"/>
        <c:majorUnit val="0.1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98973042362001E-2"/>
          <c:y val="5.8787131222331111E-2"/>
          <c:w val="0.90115532734274706"/>
          <c:h val="0.8534956574634179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'trend 2'!$P$3:$P$252</c:f>
              <c:numCache>
                <c:formatCode>d/m/yyyy;@</c:formatCode>
                <c:ptCount val="250"/>
                <c:pt idx="0">
                  <c:v>33344</c:v>
                </c:pt>
                <c:pt idx="1">
                  <c:v>33444</c:v>
                </c:pt>
                <c:pt idx="2">
                  <c:v>33526</c:v>
                </c:pt>
                <c:pt idx="3">
                  <c:v>33616</c:v>
                </c:pt>
                <c:pt idx="4">
                  <c:v>33701</c:v>
                </c:pt>
                <c:pt idx="5">
                  <c:v>33772</c:v>
                </c:pt>
                <c:pt idx="6">
                  <c:v>33872</c:v>
                </c:pt>
                <c:pt idx="7">
                  <c:v>33989</c:v>
                </c:pt>
                <c:pt idx="8">
                  <c:v>34075</c:v>
                </c:pt>
                <c:pt idx="9">
                  <c:v>34159</c:v>
                </c:pt>
                <c:pt idx="10">
                  <c:v>34263</c:v>
                </c:pt>
                <c:pt idx="11">
                  <c:v>34348</c:v>
                </c:pt>
                <c:pt idx="12">
                  <c:v>34429</c:v>
                </c:pt>
                <c:pt idx="13">
                  <c:v>34611</c:v>
                </c:pt>
                <c:pt idx="14">
                  <c:v>34704</c:v>
                </c:pt>
                <c:pt idx="15">
                  <c:v>34795</c:v>
                </c:pt>
                <c:pt idx="16">
                  <c:v>34886</c:v>
                </c:pt>
                <c:pt idx="17">
                  <c:v>34988</c:v>
                </c:pt>
                <c:pt idx="18">
                  <c:v>35068</c:v>
                </c:pt>
                <c:pt idx="19">
                  <c:v>35164</c:v>
                </c:pt>
                <c:pt idx="20">
                  <c:v>35249</c:v>
                </c:pt>
                <c:pt idx="21">
                  <c:v>35361</c:v>
                </c:pt>
                <c:pt idx="22">
                  <c:v>35443</c:v>
                </c:pt>
                <c:pt idx="23">
                  <c:v>35538</c:v>
                </c:pt>
                <c:pt idx="24">
                  <c:v>35622</c:v>
                </c:pt>
                <c:pt idx="25">
                  <c:v>35725</c:v>
                </c:pt>
                <c:pt idx="26">
                  <c:v>35803</c:v>
                </c:pt>
                <c:pt idx="27">
                  <c:v>35891</c:v>
                </c:pt>
                <c:pt idx="28">
                  <c:v>35978</c:v>
                </c:pt>
                <c:pt idx="29">
                  <c:v>36096</c:v>
                </c:pt>
                <c:pt idx="30">
                  <c:v>36217</c:v>
                </c:pt>
                <c:pt idx="31">
                  <c:v>36258</c:v>
                </c:pt>
                <c:pt idx="32">
                  <c:v>36355</c:v>
                </c:pt>
                <c:pt idx="33">
                  <c:v>36453</c:v>
                </c:pt>
                <c:pt idx="34">
                  <c:v>36530</c:v>
                </c:pt>
                <c:pt idx="35">
                  <c:v>36635</c:v>
                </c:pt>
                <c:pt idx="36">
                  <c:v>36712</c:v>
                </c:pt>
                <c:pt idx="37">
                  <c:v>36811</c:v>
                </c:pt>
              </c:numCache>
            </c:numRef>
          </c:xVal>
          <c:yVal>
            <c:numRef>
              <c:f>'trend 2'!$Q$3:$Q$252</c:f>
              <c:numCache>
                <c:formatCode>0.00</c:formatCode>
                <c:ptCount val="250"/>
                <c:pt idx="0">
                  <c:v>21.9</c:v>
                </c:pt>
                <c:pt idx="1">
                  <c:v>21.1</c:v>
                </c:pt>
                <c:pt idx="2">
                  <c:v>21.5</c:v>
                </c:pt>
                <c:pt idx="3">
                  <c:v>23.8</c:v>
                </c:pt>
                <c:pt idx="4">
                  <c:v>24.7</c:v>
                </c:pt>
                <c:pt idx="5">
                  <c:v>27.6</c:v>
                </c:pt>
                <c:pt idx="6">
                  <c:v>16.100000000000001</c:v>
                </c:pt>
                <c:pt idx="7">
                  <c:v>16.3</c:v>
                </c:pt>
                <c:pt idx="8">
                  <c:v>16.7</c:v>
                </c:pt>
                <c:pt idx="9">
                  <c:v>14.2</c:v>
                </c:pt>
                <c:pt idx="10">
                  <c:v>15.9</c:v>
                </c:pt>
                <c:pt idx="11">
                  <c:v>13.7</c:v>
                </c:pt>
                <c:pt idx="12">
                  <c:v>12.6</c:v>
                </c:pt>
                <c:pt idx="13">
                  <c:v>10.1</c:v>
                </c:pt>
                <c:pt idx="14">
                  <c:v>12.1</c:v>
                </c:pt>
                <c:pt idx="15">
                  <c:v>13.1</c:v>
                </c:pt>
                <c:pt idx="16">
                  <c:v>12.1</c:v>
                </c:pt>
                <c:pt idx="17">
                  <c:v>15.8</c:v>
                </c:pt>
                <c:pt idx="18">
                  <c:v>13.1</c:v>
                </c:pt>
                <c:pt idx="19">
                  <c:v>12.9</c:v>
                </c:pt>
                <c:pt idx="20">
                  <c:v>20.9</c:v>
                </c:pt>
                <c:pt idx="21">
                  <c:v>14</c:v>
                </c:pt>
                <c:pt idx="22">
                  <c:v>14.4</c:v>
                </c:pt>
                <c:pt idx="23">
                  <c:v>17.5</c:v>
                </c:pt>
                <c:pt idx="24">
                  <c:v>14.3</c:v>
                </c:pt>
                <c:pt idx="25">
                  <c:v>13.2</c:v>
                </c:pt>
                <c:pt idx="26">
                  <c:v>13.9</c:v>
                </c:pt>
                <c:pt idx="27">
                  <c:v>9.9</c:v>
                </c:pt>
                <c:pt idx="28">
                  <c:v>10.6</c:v>
                </c:pt>
                <c:pt idx="29">
                  <c:v>2.6</c:v>
                </c:pt>
                <c:pt idx="30">
                  <c:v>12</c:v>
                </c:pt>
                <c:pt idx="31">
                  <c:v>6.3</c:v>
                </c:pt>
                <c:pt idx="32">
                  <c:v>8.6999999999999993</c:v>
                </c:pt>
                <c:pt idx="33">
                  <c:v>14.2</c:v>
                </c:pt>
                <c:pt idx="34">
                  <c:v>6.2</c:v>
                </c:pt>
                <c:pt idx="35">
                  <c:v>5.3</c:v>
                </c:pt>
                <c:pt idx="36">
                  <c:v>8.6</c:v>
                </c:pt>
                <c:pt idx="37">
                  <c:v>4.8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0D-4674-B826-F33BD3CFA525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'trend 2'!$A$102:$A$104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40055.927377204061</c:v>
                </c:pt>
                <c:pt idx="2">
                  <c:v>44196</c:v>
                </c:pt>
              </c:numCache>
            </c:numRef>
          </c:xVal>
          <c:yVal>
            <c:numRef>
              <c:f>'trend 2'!$D$102:$D$104</c:f>
              <c:numCache>
                <c:formatCode>0.000</c:formatCode>
                <c:ptCount val="3"/>
                <c:pt idx="0">
                  <c:v>167.02438817628132</c:v>
                </c:pt>
                <c:pt idx="1">
                  <c:v>-1.0572602928469346</c:v>
                </c:pt>
                <c:pt idx="2" formatCode="0.0000">
                  <c:v>-18.430159878166876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0D-4674-B826-F33BD3CFA525}"/>
            </c:ext>
          </c:extLst>
        </c:ser>
        <c:ser>
          <c:idx val="2"/>
          <c:order val="2"/>
          <c:tx>
            <c:v>AS Zustrom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2'!$A$102:$A$104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40055.927377204061</c:v>
                </c:pt>
                <c:pt idx="2">
                  <c:v>44196</c:v>
                </c:pt>
              </c:numCache>
            </c:numRef>
          </c:xVal>
          <c:yVal>
            <c:numRef>
              <c:f>'trend 2'!$C$102:$C$104</c:f>
              <c:numCache>
                <c:formatCode>0.000</c:formatCode>
                <c:ptCount val="3"/>
                <c:pt idx="0">
                  <c:v>168.83164846912825</c:v>
                </c:pt>
                <c:pt idx="1">
                  <c:v>0.75</c:v>
                </c:pt>
                <c:pt idx="2" formatCode="0.0000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0D-4674-B826-F33BD3CFA525}"/>
            </c:ext>
          </c:extLst>
        </c:ser>
        <c:ser>
          <c:idx val="7"/>
          <c:order val="3"/>
          <c:tx>
            <c:v>vager Trend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'trend 2'!$B$113:$B$114</c:f>
              <c:numCache>
                <c:formatCode>d/m/yyyy;@</c:formatCode>
                <c:ptCount val="2"/>
                <c:pt idx="0">
                  <c:v>1</c:v>
                </c:pt>
                <c:pt idx="1">
                  <c:v>36811</c:v>
                </c:pt>
              </c:numCache>
            </c:numRef>
          </c:xVal>
          <c:yVal>
            <c:numRef>
              <c:f>'trend 2'!$D$113:$D$114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0D-4674-B826-F33BD3CFA525}"/>
            </c:ext>
          </c:extLst>
        </c:ser>
        <c:ser>
          <c:idx val="8"/>
          <c:order val="4"/>
          <c:tx>
            <c:v>Trendlinie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'trend 2'!$B$113:$B$114</c:f>
              <c:numCache>
                <c:formatCode>d/m/yyyy;@</c:formatCode>
                <c:ptCount val="2"/>
                <c:pt idx="0">
                  <c:v>1</c:v>
                </c:pt>
                <c:pt idx="1">
                  <c:v>36811</c:v>
                </c:pt>
              </c:numCache>
            </c:numRef>
          </c:xVal>
          <c:yVal>
            <c:numRef>
              <c:f>'trend 2'!$E$113:$E$114</c:f>
              <c:numCache>
                <c:formatCode>General</c:formatCode>
                <c:ptCount val="2"/>
                <c:pt idx="0">
                  <c:v>161.26286772971747</c:v>
                </c:pt>
                <c:pt idx="1">
                  <c:v>6.7978396974912414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0D-4674-B826-F33BD3CFA525}"/>
            </c:ext>
          </c:extLst>
        </c:ser>
        <c:ser>
          <c:idx val="3"/>
          <c:order val="5"/>
          <c:tx>
            <c:v>Vorschlag AS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'trend 2'!$B$35:$C$35</c:f>
              <c:numCache>
                <c:formatCode>m/d/yyyy</c:formatCode>
                <c:ptCount val="2"/>
                <c:pt idx="0">
                  <c:v>37257</c:v>
                </c:pt>
                <c:pt idx="1">
                  <c:v>38868</c:v>
                </c:pt>
              </c:numCache>
            </c:numRef>
          </c:xVal>
          <c:yVal>
            <c:numRef>
              <c:f>'trend 2'!$E$106:$E$107</c:f>
              <c:numCache>
                <c:formatCode>0.0000</c:formatCode>
                <c:ptCount val="2"/>
                <c:pt idx="0">
                  <c:v>15.012847394711404</c:v>
                </c:pt>
                <c:pt idx="1">
                  <c:v>15.012847394711404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0D-4674-B826-F33BD3CFA525}"/>
            </c:ext>
          </c:extLst>
        </c:ser>
        <c:ser>
          <c:idx val="4"/>
          <c:order val="6"/>
          <c:tx>
            <c:v>Geltungsspanne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2'!$B$105:$B$106</c:f>
              <c:numCache>
                <c:formatCode>m/d/yyyy</c:formatCode>
                <c:ptCount val="2"/>
                <c:pt idx="0">
                  <c:v>38868</c:v>
                </c:pt>
                <c:pt idx="1">
                  <c:v>38868</c:v>
                </c:pt>
              </c:numCache>
            </c:numRef>
          </c:xVal>
          <c:yVal>
            <c:numRef>
              <c:f>'trend 2'!$C$105:$C$106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20D-4674-B826-F33BD3CFA525}"/>
            </c:ext>
          </c:extLst>
        </c:ser>
        <c:ser>
          <c:idx val="6"/>
          <c:order val="7"/>
          <c:tx>
            <c:v>Geltungsspanneu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2'!$A$105:$A$106</c:f>
              <c:numCache>
                <c:formatCode>m/d/yyyy</c:formatCode>
                <c:ptCount val="2"/>
                <c:pt idx="0">
                  <c:v>37257</c:v>
                </c:pt>
                <c:pt idx="1">
                  <c:v>37257</c:v>
                </c:pt>
              </c:numCache>
            </c:numRef>
          </c:xVal>
          <c:yVal>
            <c:numRef>
              <c:f>'trend 2'!$C$105:$C$106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0D-4674-B826-F33BD3CFA525}"/>
            </c:ext>
          </c:extLst>
        </c:ser>
        <c:ser>
          <c:idx val="9"/>
          <c:order val="8"/>
          <c:tx>
            <c:v>Projektionswert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'trend 2'!$B$35:$C$35</c:f>
              <c:numCache>
                <c:formatCode>m/d/yyyy</c:formatCode>
                <c:ptCount val="2"/>
                <c:pt idx="0">
                  <c:v>37257</c:v>
                </c:pt>
                <c:pt idx="1">
                  <c:v>38868</c:v>
                </c:pt>
              </c:numCache>
            </c:numRef>
          </c:xVal>
          <c:yVal>
            <c:numRef>
              <c:f>'trend 2'!$E$102:$E$103</c:f>
              <c:numCache>
                <c:formatCode>0.000</c:formatCode>
                <c:ptCount val="2"/>
                <c:pt idx="0">
                  <c:v>15.012847394711404</c:v>
                </c:pt>
                <c:pt idx="1">
                  <c:v>8.2526420113939345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20D-4674-B826-F33BD3CFA525}"/>
            </c:ext>
          </c:extLst>
        </c:ser>
        <c:ser>
          <c:idx val="10"/>
          <c:order val="9"/>
          <c:tx>
            <c:v>AS abgesichert</c:v>
          </c:tx>
          <c:spPr>
            <a:ln w="3175">
              <a:solidFill>
                <a:srgbClr val="3366FF"/>
              </a:solidFill>
              <a:prstDash val="lgDashDot"/>
            </a:ln>
          </c:spPr>
          <c:marker>
            <c:symbol val="square"/>
            <c:size val="8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'trend 2'!$F$102:$F$103</c:f>
              <c:numCache>
                <c:formatCode>m/d/yyyy</c:formatCode>
                <c:ptCount val="2"/>
                <c:pt idx="0">
                  <c:v>36811</c:v>
                </c:pt>
                <c:pt idx="1">
                  <c:v>44196</c:v>
                </c:pt>
              </c:numCache>
            </c:numRef>
          </c:xVal>
          <c:yVal>
            <c:numRef>
              <c:f>'trend 2'!$G$102:$G$103</c:f>
              <c:numCache>
                <c:formatCode>0.0000</c:formatCode>
                <c:ptCount val="2"/>
                <c:pt idx="0">
                  <c:v>14.366620436902029</c:v>
                </c:pt>
                <c:pt idx="1">
                  <c:v>14.366620436902029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20D-4674-B826-F33BD3CFA525}"/>
            </c:ext>
          </c:extLst>
        </c:ser>
        <c:ser>
          <c:idx val="5"/>
          <c:order val="10"/>
          <c:tx>
            <c:v>AS Abstrom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2'!$B$102:$B$104</c:f>
              <c:numCache>
                <c:formatCode>m/d/yyyy</c:formatCode>
                <c:ptCount val="3"/>
                <c:pt idx="0">
                  <c:v>601</c:v>
                </c:pt>
                <c:pt idx="1">
                  <c:v>40655.927377204061</c:v>
                </c:pt>
                <c:pt idx="2">
                  <c:v>44796</c:v>
                </c:pt>
              </c:numCache>
            </c:numRef>
          </c:xVal>
          <c:yVal>
            <c:numRef>
              <c:f>'trend 2'!$C$102:$C$104</c:f>
              <c:numCache>
                <c:formatCode>0.000</c:formatCode>
                <c:ptCount val="3"/>
                <c:pt idx="0">
                  <c:v>168.83164846912825</c:v>
                </c:pt>
                <c:pt idx="1">
                  <c:v>0.75</c:v>
                </c:pt>
                <c:pt idx="2" formatCode="0.0000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20D-4674-B826-F33BD3CFA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167616"/>
        <c:axId val="159169152"/>
      </c:scatterChart>
      <c:valAx>
        <c:axId val="159167616"/>
        <c:scaling>
          <c:orientation val="minMax"/>
          <c:max val="39447"/>
          <c:min val="33239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169152"/>
        <c:crossesAt val="0"/>
        <c:crossBetween val="midCat"/>
        <c:majorUnit val="1461"/>
        <c:minorUnit val="365.25"/>
      </c:valAx>
      <c:valAx>
        <c:axId val="159169152"/>
        <c:scaling>
          <c:orientation val="minMax"/>
          <c:max val="30"/>
          <c:min val="0"/>
        </c:scaling>
        <c:delete val="0"/>
        <c:axPos val="l"/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167616"/>
        <c:crosses val="autoZero"/>
        <c:crossBetween val="midCat"/>
        <c:majorUnit val="10"/>
        <c:minorUnit val="2"/>
      </c:valAx>
    </c:plotArea>
    <c:legend>
      <c:legendPos val="r"/>
      <c:legendEntry>
        <c:idx val="3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0412721014663584"/>
          <c:y val="3.7045385421242943E-2"/>
          <c:w val="0.37314847470413504"/>
          <c:h val="0.17590956709810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1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076923077"/>
          <c:y val="9.2198900843932993E-2"/>
          <c:w val="0.80769230769230771"/>
          <c:h val="0.85106677702091993"/>
        </c:manualLayout>
      </c:layout>
      <c:scatterChart>
        <c:scatterStyle val="lineMarker"/>
        <c:varyColors val="0"/>
        <c:ser>
          <c:idx val="0"/>
          <c:order val="0"/>
          <c:tx>
            <c:v>Residuen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xVal>
            <c:numRef>
              <c:f>'trend 3'!$P$3:$P$252</c:f>
              <c:numCache>
                <c:formatCode>d/m/yyyy;@</c:formatCode>
                <c:ptCount val="250"/>
              </c:numCache>
            </c:numRef>
          </c:xVal>
          <c:yVal>
            <c:numRef>
              <c:f>'trend 3'!$S$3:$S$252</c:f>
              <c:numCache>
                <c:formatCode>0.0000</c:formatCode>
                <c:ptCount val="2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39-428F-A6FB-D0D9B2DD5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27264"/>
        <c:axId val="159233536"/>
      </c:scatterChart>
      <c:valAx>
        <c:axId val="159227264"/>
        <c:scaling>
          <c:orientation val="minMax"/>
          <c:max val="39447"/>
          <c:min val="32874"/>
        </c:scaling>
        <c:delete val="0"/>
        <c:axPos val="b"/>
        <c:numFmt formatCode="[$-407]mmmmm\ yy;@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33536"/>
        <c:crosses val="autoZero"/>
        <c:crossBetween val="midCat"/>
        <c:majorUnit val="1461"/>
        <c:minorUnit val="365.25"/>
      </c:valAx>
      <c:valAx>
        <c:axId val="159233536"/>
        <c:scaling>
          <c:orientation val="minMax"/>
          <c:max val="1"/>
          <c:min val="-1"/>
        </c:scaling>
        <c:delete val="0"/>
        <c:axPos val="l"/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27264"/>
        <c:crosses val="autoZero"/>
        <c:crossBetween val="midCat"/>
        <c:majorUnit val="0.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98973042362001E-2"/>
          <c:y val="5.8787131222331111E-2"/>
          <c:w val="0.90115532734274706"/>
          <c:h val="0.8534956574634179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'trend 3'!$P$3:$P$252</c:f>
              <c:numCache>
                <c:formatCode>d/m/yyyy;@</c:formatCode>
                <c:ptCount val="250"/>
              </c:numCache>
            </c:numRef>
          </c:xVal>
          <c:yVal>
            <c:numRef>
              <c:f>'trend 3'!$Q$3:$Q$252</c:f>
              <c:numCache>
                <c:formatCode>0.00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C6-4B25-B8BB-934E326C8660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'trend 3'!$A$102:$A$104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44196</c:v>
                </c:pt>
              </c:numCache>
            </c:numRef>
          </c:xVal>
          <c:yVal>
            <c:numRef>
              <c:f>'trend 3'!$D$102:$D$104</c:f>
              <c:numCache>
                <c:formatCode>0.000</c:formatCode>
                <c:ptCount val="3"/>
                <c:pt idx="0">
                  <c:v>0</c:v>
                </c:pt>
                <c:pt idx="1">
                  <c:v>0</c:v>
                </c:pt>
                <c:pt idx="2" formatCode="0.0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C6-4B25-B8BB-934E326C8660}"/>
            </c:ext>
          </c:extLst>
        </c:ser>
        <c:ser>
          <c:idx val="2"/>
          <c:order val="2"/>
          <c:tx>
            <c:v>AS Zustrom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3'!$A$102:$A$104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44196</c:v>
                </c:pt>
              </c:numCache>
            </c:numRef>
          </c:xVal>
          <c:yVal>
            <c:numRef>
              <c:f>'trend 3'!$C$102:$C$104</c:f>
              <c:numCache>
                <c:formatCode>0.000</c:formatCode>
                <c:ptCount val="3"/>
                <c:pt idx="0">
                  <c:v>0</c:v>
                </c:pt>
                <c:pt idx="1">
                  <c:v>0.75</c:v>
                </c:pt>
                <c:pt idx="2" formatCode="0.0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C6-4B25-B8BB-934E326C8660}"/>
            </c:ext>
          </c:extLst>
        </c:ser>
        <c:ser>
          <c:idx val="7"/>
          <c:order val="3"/>
          <c:tx>
            <c:v>vager Trend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'trend 3'!$B$113:$B$114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'trend 3'!$D$113:$D$114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C6-4B25-B8BB-934E326C8660}"/>
            </c:ext>
          </c:extLst>
        </c:ser>
        <c:ser>
          <c:idx val="8"/>
          <c:order val="4"/>
          <c:tx>
            <c:v>Trendlinie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'trend 3'!$B$113:$B$114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'trend 3'!$E$113:$E$114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C6-4B25-B8BB-934E326C8660}"/>
            </c:ext>
          </c:extLst>
        </c:ser>
        <c:ser>
          <c:idx val="3"/>
          <c:order val="5"/>
          <c:tx>
            <c:v>Vorschlag AS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'trend 3'!$B$35:$C$35</c:f>
              <c:numCache>
                <c:formatCode>m/d/yyyy</c:formatCode>
                <c:ptCount val="2"/>
                <c:pt idx="0">
                  <c:v>38353</c:v>
                </c:pt>
                <c:pt idx="1">
                  <c:v>39233</c:v>
                </c:pt>
              </c:numCache>
            </c:numRef>
          </c:xVal>
          <c:yVal>
            <c:numRef>
              <c:f>'trend 3'!$E$106:$E$107</c:f>
              <c:numCache>
                <c:formatCode>0.0000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C6-4B25-B8BB-934E326C8660}"/>
            </c:ext>
          </c:extLst>
        </c:ser>
        <c:ser>
          <c:idx val="4"/>
          <c:order val="6"/>
          <c:tx>
            <c:v>Geltungsspanne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3'!$B$105:$B$106</c:f>
              <c:numCache>
                <c:formatCode>m/d/yyyy</c:formatCode>
                <c:ptCount val="2"/>
                <c:pt idx="0">
                  <c:v>39233</c:v>
                </c:pt>
                <c:pt idx="1">
                  <c:v>39233</c:v>
                </c:pt>
              </c:numCache>
            </c:numRef>
          </c:xVal>
          <c:yVal>
            <c:numRef>
              <c:f>'trend 3'!$C$105:$C$106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C6-4B25-B8BB-934E326C8660}"/>
            </c:ext>
          </c:extLst>
        </c:ser>
        <c:ser>
          <c:idx val="6"/>
          <c:order val="7"/>
          <c:tx>
            <c:v>Geltungsspanneu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3'!$A$105:$A$106</c:f>
              <c:numCache>
                <c:formatCode>m/d/yyyy</c:formatCode>
                <c:ptCount val="2"/>
                <c:pt idx="0">
                  <c:v>38353</c:v>
                </c:pt>
                <c:pt idx="1">
                  <c:v>38353</c:v>
                </c:pt>
              </c:numCache>
            </c:numRef>
          </c:xVal>
          <c:yVal>
            <c:numRef>
              <c:f>'trend 3'!$C$105:$C$106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C6-4B25-B8BB-934E326C8660}"/>
            </c:ext>
          </c:extLst>
        </c:ser>
        <c:ser>
          <c:idx val="9"/>
          <c:order val="8"/>
          <c:tx>
            <c:v>Projektionswert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'trend 3'!$B$35:$C$35</c:f>
              <c:numCache>
                <c:formatCode>m/d/yyyy</c:formatCode>
                <c:ptCount val="2"/>
                <c:pt idx="0">
                  <c:v>38353</c:v>
                </c:pt>
                <c:pt idx="1">
                  <c:v>39233</c:v>
                </c:pt>
              </c:numCache>
            </c:numRef>
          </c:xVal>
          <c:yVal>
            <c:numRef>
              <c:f>'trend 3'!$E$102:$E$103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C6-4B25-B8BB-934E326C8660}"/>
            </c:ext>
          </c:extLst>
        </c:ser>
        <c:ser>
          <c:idx val="10"/>
          <c:order val="9"/>
          <c:tx>
            <c:v>AS abgesichert</c:v>
          </c:tx>
          <c:spPr>
            <a:ln w="3175">
              <a:solidFill>
                <a:srgbClr val="3366FF"/>
              </a:solidFill>
              <a:prstDash val="lgDashDot"/>
            </a:ln>
          </c:spPr>
          <c:marker>
            <c:symbol val="square"/>
            <c:size val="8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'trend 3'!$F$102:$F$103</c:f>
              <c:numCache>
                <c:formatCode>m/d/yyyy</c:formatCode>
                <c:ptCount val="2"/>
                <c:pt idx="0">
                  <c:v>0</c:v>
                </c:pt>
                <c:pt idx="1">
                  <c:v>44196</c:v>
                </c:pt>
              </c:numCache>
            </c:numRef>
          </c:xVal>
          <c:yVal>
            <c:numRef>
              <c:f>'trend 3'!$G$102:$G$103</c:f>
              <c:numCache>
                <c:formatCode>0.0000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EC6-4B25-B8BB-934E326C8660}"/>
            </c:ext>
          </c:extLst>
        </c:ser>
        <c:ser>
          <c:idx val="5"/>
          <c:order val="10"/>
          <c:tx>
            <c:v>AS Abstrom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3'!$B$102:$B$104</c:f>
              <c:numCache>
                <c:formatCode>m/d/yyyy</c:formatCode>
                <c:ptCount val="3"/>
                <c:pt idx="0">
                  <c:v>601</c:v>
                </c:pt>
                <c:pt idx="1">
                  <c:v>0</c:v>
                </c:pt>
                <c:pt idx="2">
                  <c:v>44796</c:v>
                </c:pt>
              </c:numCache>
            </c:numRef>
          </c:xVal>
          <c:yVal>
            <c:numRef>
              <c:f>'trend 3'!$C$102:$C$104</c:f>
              <c:numCache>
                <c:formatCode>0.000</c:formatCode>
                <c:ptCount val="3"/>
                <c:pt idx="0">
                  <c:v>0</c:v>
                </c:pt>
                <c:pt idx="1">
                  <c:v>0.75</c:v>
                </c:pt>
                <c:pt idx="2" formatCode="0.0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EC6-4B25-B8BB-934E326C8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08192"/>
        <c:axId val="159209728"/>
      </c:scatterChart>
      <c:valAx>
        <c:axId val="15920819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09728"/>
        <c:crossesAt val="0"/>
        <c:crossBetween val="midCat"/>
        <c:majorUnit val="1461"/>
        <c:minorUnit val="365.25"/>
      </c:valAx>
      <c:valAx>
        <c:axId val="159209728"/>
        <c:scaling>
          <c:orientation val="minMax"/>
          <c:max val="1.5"/>
          <c:min val="0"/>
        </c:scaling>
        <c:delete val="0"/>
        <c:axPos val="l"/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08192"/>
        <c:crosses val="autoZero"/>
        <c:crossBetween val="midCat"/>
        <c:majorUnit val="0.5"/>
      </c:valAx>
    </c:plotArea>
    <c:legend>
      <c:legendPos val="r"/>
      <c:legendEntry>
        <c:idx val="3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0412721014663584"/>
          <c:y val="3.7045385421242943E-2"/>
          <c:w val="0.37314847470413504"/>
          <c:h val="0.17590956709810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1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076923077"/>
          <c:y val="9.2198900843932993E-2"/>
          <c:w val="0.80769230769230771"/>
          <c:h val="0.85106677702091993"/>
        </c:manualLayout>
      </c:layout>
      <c:scatterChart>
        <c:scatterStyle val="lineMarker"/>
        <c:varyColors val="0"/>
        <c:ser>
          <c:idx val="0"/>
          <c:order val="0"/>
          <c:tx>
            <c:v>Residuen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xVal>
            <c:numRef>
              <c:f>'trend 4'!$P$3:$P$252</c:f>
              <c:numCache>
                <c:formatCode>d/m/yyyy;@</c:formatCode>
                <c:ptCount val="250"/>
              </c:numCache>
            </c:numRef>
          </c:xVal>
          <c:yVal>
            <c:numRef>
              <c:f>'trend 4'!$S$3:$S$252</c:f>
              <c:numCache>
                <c:formatCode>0.0000</c:formatCode>
                <c:ptCount val="2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C5-4BE2-B5B3-952E1868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13184"/>
        <c:axId val="160306304"/>
      </c:scatterChart>
      <c:valAx>
        <c:axId val="158813184"/>
        <c:scaling>
          <c:orientation val="minMax"/>
          <c:max val="39447"/>
          <c:min val="32874"/>
        </c:scaling>
        <c:delete val="0"/>
        <c:axPos val="b"/>
        <c:numFmt formatCode="[$-407]mmmmm\ yy;@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306304"/>
        <c:crosses val="autoZero"/>
        <c:crossBetween val="midCat"/>
        <c:majorUnit val="1461"/>
        <c:minorUnit val="365.25"/>
      </c:valAx>
      <c:valAx>
        <c:axId val="160306304"/>
        <c:scaling>
          <c:orientation val="minMax"/>
          <c:max val="1"/>
          <c:min val="-1"/>
        </c:scaling>
        <c:delete val="0"/>
        <c:axPos val="l"/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813184"/>
        <c:crosses val="autoZero"/>
        <c:crossBetween val="midCat"/>
        <c:majorUnit val="0.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98973042362001E-2"/>
          <c:y val="5.8787131222331111E-2"/>
          <c:w val="0.90115532734274706"/>
          <c:h val="0.8534956574634179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'trend 4'!$P$3:$P$252</c:f>
              <c:numCache>
                <c:formatCode>d/m/yyyy;@</c:formatCode>
                <c:ptCount val="250"/>
              </c:numCache>
            </c:numRef>
          </c:xVal>
          <c:yVal>
            <c:numRef>
              <c:f>'trend 4'!$Q$3:$Q$252</c:f>
              <c:numCache>
                <c:formatCode>0.00</c:formatCode>
                <c:ptCount val="2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DC-4185-8D04-6F4FF9EFE611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'trend 4'!$A$102:$A$104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44196</c:v>
                </c:pt>
              </c:numCache>
            </c:numRef>
          </c:xVal>
          <c:yVal>
            <c:numRef>
              <c:f>'trend 4'!$D$102:$D$104</c:f>
              <c:numCache>
                <c:formatCode>0.000</c:formatCode>
                <c:ptCount val="3"/>
                <c:pt idx="0">
                  <c:v>0</c:v>
                </c:pt>
                <c:pt idx="1">
                  <c:v>0</c:v>
                </c:pt>
                <c:pt idx="2" formatCode="0.0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DC-4185-8D04-6F4FF9EFE611}"/>
            </c:ext>
          </c:extLst>
        </c:ser>
        <c:ser>
          <c:idx val="2"/>
          <c:order val="2"/>
          <c:tx>
            <c:v>AS Zustrom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4'!$A$102:$A$104</c:f>
              <c:numCache>
                <c:formatCode>m/d/yyyy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44196</c:v>
                </c:pt>
              </c:numCache>
            </c:numRef>
          </c:xVal>
          <c:yVal>
            <c:numRef>
              <c:f>'trend 4'!$C$102:$C$104</c:f>
              <c:numCache>
                <c:formatCode>0.000</c:formatCode>
                <c:ptCount val="3"/>
                <c:pt idx="0">
                  <c:v>0</c:v>
                </c:pt>
                <c:pt idx="1">
                  <c:v>0.75</c:v>
                </c:pt>
                <c:pt idx="2" formatCode="0.0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DC-4185-8D04-6F4FF9EFE611}"/>
            </c:ext>
          </c:extLst>
        </c:ser>
        <c:ser>
          <c:idx val="7"/>
          <c:order val="3"/>
          <c:tx>
            <c:v>vager Trend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'trend 4'!$B$113:$B$114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'trend 4'!$D$113:$D$114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DC-4185-8D04-6F4FF9EFE611}"/>
            </c:ext>
          </c:extLst>
        </c:ser>
        <c:ser>
          <c:idx val="8"/>
          <c:order val="4"/>
          <c:tx>
            <c:v>Trendlinie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'trend 4'!$B$113:$B$114</c:f>
              <c:numCache>
                <c:formatCode>d/m/yyyy;@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'trend 4'!$E$113:$E$114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DC-4185-8D04-6F4FF9EFE611}"/>
            </c:ext>
          </c:extLst>
        </c:ser>
        <c:ser>
          <c:idx val="3"/>
          <c:order val="5"/>
          <c:tx>
            <c:v>Vorschlag AS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'trend 4'!$B$35:$C$35</c:f>
              <c:numCache>
                <c:formatCode>m/d/yyyy</c:formatCode>
                <c:ptCount val="2"/>
                <c:pt idx="0">
                  <c:v>38353</c:v>
                </c:pt>
                <c:pt idx="1">
                  <c:v>39233</c:v>
                </c:pt>
              </c:numCache>
            </c:numRef>
          </c:xVal>
          <c:yVal>
            <c:numRef>
              <c:f>'trend 4'!$E$106:$E$107</c:f>
              <c:numCache>
                <c:formatCode>0.0000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DC-4185-8D04-6F4FF9EFE611}"/>
            </c:ext>
          </c:extLst>
        </c:ser>
        <c:ser>
          <c:idx val="4"/>
          <c:order val="6"/>
          <c:tx>
            <c:v>Geltungsspanne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4'!$B$105:$B$106</c:f>
              <c:numCache>
                <c:formatCode>m/d/yyyy</c:formatCode>
                <c:ptCount val="2"/>
                <c:pt idx="0">
                  <c:v>39233</c:v>
                </c:pt>
                <c:pt idx="1">
                  <c:v>39233</c:v>
                </c:pt>
              </c:numCache>
            </c:numRef>
          </c:xVal>
          <c:yVal>
            <c:numRef>
              <c:f>'trend 4'!$C$105:$C$106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EDC-4185-8D04-6F4FF9EFE611}"/>
            </c:ext>
          </c:extLst>
        </c:ser>
        <c:ser>
          <c:idx val="6"/>
          <c:order val="7"/>
          <c:tx>
            <c:v>Geltungsspanneu</c:v>
          </c:tx>
          <c:spPr>
            <a:ln w="12700">
              <a:solidFill>
                <a:srgbClr val="808080"/>
              </a:solidFill>
              <a:prstDash val="lgDashDot"/>
            </a:ln>
          </c:spPr>
          <c:marker>
            <c:symbol val="none"/>
          </c:marker>
          <c:xVal>
            <c:numRef>
              <c:f>'trend 4'!$A$105:$A$106</c:f>
              <c:numCache>
                <c:formatCode>m/d/yyyy</c:formatCode>
                <c:ptCount val="2"/>
                <c:pt idx="0">
                  <c:v>38353</c:v>
                </c:pt>
                <c:pt idx="1">
                  <c:v>38353</c:v>
                </c:pt>
              </c:numCache>
            </c:numRef>
          </c:xVal>
          <c:yVal>
            <c:numRef>
              <c:f>'trend 4'!$C$105:$C$106</c:f>
              <c:numCache>
                <c:formatCode>0</c:formatCode>
                <c:ptCount val="2"/>
                <c:pt idx="0">
                  <c:v>0</c:v>
                </c:pt>
                <c:pt idx="1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DC-4185-8D04-6F4FF9EFE611}"/>
            </c:ext>
          </c:extLst>
        </c:ser>
        <c:ser>
          <c:idx val="9"/>
          <c:order val="8"/>
          <c:tx>
            <c:v>Projektionswert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'trend 4'!$B$35:$C$35</c:f>
              <c:numCache>
                <c:formatCode>m/d/yyyy</c:formatCode>
                <c:ptCount val="2"/>
                <c:pt idx="0">
                  <c:v>38353</c:v>
                </c:pt>
                <c:pt idx="1">
                  <c:v>39233</c:v>
                </c:pt>
              </c:numCache>
            </c:numRef>
          </c:xVal>
          <c:yVal>
            <c:numRef>
              <c:f>'trend 4'!$E$102:$E$103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DC-4185-8D04-6F4FF9EFE611}"/>
            </c:ext>
          </c:extLst>
        </c:ser>
        <c:ser>
          <c:idx val="10"/>
          <c:order val="9"/>
          <c:tx>
            <c:v>AS abgesichert</c:v>
          </c:tx>
          <c:spPr>
            <a:ln w="3175">
              <a:solidFill>
                <a:srgbClr val="3366FF"/>
              </a:solidFill>
              <a:prstDash val="lgDashDot"/>
            </a:ln>
          </c:spPr>
          <c:marker>
            <c:symbol val="square"/>
            <c:size val="8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'trend 4'!$F$102:$F$103</c:f>
              <c:numCache>
                <c:formatCode>m/d/yyyy</c:formatCode>
                <c:ptCount val="2"/>
                <c:pt idx="0">
                  <c:v>0</c:v>
                </c:pt>
                <c:pt idx="1">
                  <c:v>44196</c:v>
                </c:pt>
              </c:numCache>
            </c:numRef>
          </c:xVal>
          <c:yVal>
            <c:numRef>
              <c:f>'trend 4'!$G$102:$G$103</c:f>
              <c:numCache>
                <c:formatCode>0.0000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EDC-4185-8D04-6F4FF9EFE611}"/>
            </c:ext>
          </c:extLst>
        </c:ser>
        <c:ser>
          <c:idx val="5"/>
          <c:order val="10"/>
          <c:tx>
            <c:v>AS Abstrom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'trend 4'!$B$102:$B$104</c:f>
              <c:numCache>
                <c:formatCode>m/d/yyyy</c:formatCode>
                <c:ptCount val="3"/>
                <c:pt idx="0">
                  <c:v>601</c:v>
                </c:pt>
                <c:pt idx="1">
                  <c:v>0</c:v>
                </c:pt>
                <c:pt idx="2">
                  <c:v>44796</c:v>
                </c:pt>
              </c:numCache>
            </c:numRef>
          </c:xVal>
          <c:yVal>
            <c:numRef>
              <c:f>'trend 4'!$C$102:$C$104</c:f>
              <c:numCache>
                <c:formatCode>0.000</c:formatCode>
                <c:ptCount val="3"/>
                <c:pt idx="0">
                  <c:v>0</c:v>
                </c:pt>
                <c:pt idx="1">
                  <c:v>0.75</c:v>
                </c:pt>
                <c:pt idx="2" formatCode="0.0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EDC-4185-8D04-6F4FF9EFE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391552"/>
        <c:axId val="160393088"/>
      </c:scatterChart>
      <c:valAx>
        <c:axId val="160391552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393088"/>
        <c:crossesAt val="0"/>
        <c:crossBetween val="midCat"/>
        <c:majorUnit val="1461"/>
        <c:minorUnit val="365.25"/>
      </c:valAx>
      <c:valAx>
        <c:axId val="160393088"/>
        <c:scaling>
          <c:orientation val="minMax"/>
          <c:max val="1.5"/>
          <c:min val="0"/>
        </c:scaling>
        <c:delete val="0"/>
        <c:axPos val="l"/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391552"/>
        <c:crosses val="autoZero"/>
        <c:crossBetween val="midCat"/>
        <c:majorUnit val="0.5"/>
      </c:valAx>
    </c:plotArea>
    <c:legend>
      <c:legendPos val="r"/>
      <c:legendEntry>
        <c:idx val="3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0412721014663584"/>
          <c:y val="3.7045385421242943E-2"/>
          <c:w val="0.37314847470413504"/>
          <c:h val="0.17590956709810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12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34310624938966E-2"/>
          <c:y val="7.5000091552846135E-2"/>
          <c:w val="0.87972088049120445"/>
          <c:h val="0.81000098877073823"/>
        </c:manualLayout>
      </c:layout>
      <c:scatterChart>
        <c:scatterStyle val="lineMarker"/>
        <c:varyColors val="0"/>
        <c:ser>
          <c:idx val="0"/>
          <c:order val="0"/>
          <c:tx>
            <c:v>Zeitreihe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Kalium!$M$3:$M$252</c:f>
              <c:numCache>
                <c:formatCode>d/m/yyyy;@</c:formatCode>
                <c:ptCount val="250"/>
                <c:pt idx="0">
                  <c:v>36769</c:v>
                </c:pt>
                <c:pt idx="1">
                  <c:v>36895</c:v>
                </c:pt>
                <c:pt idx="2">
                  <c:v>37333</c:v>
                </c:pt>
                <c:pt idx="3">
                  <c:v>37540</c:v>
                </c:pt>
                <c:pt idx="4">
                  <c:v>37677</c:v>
                </c:pt>
                <c:pt idx="5">
                  <c:v>37852</c:v>
                </c:pt>
                <c:pt idx="6">
                  <c:v>38055</c:v>
                </c:pt>
                <c:pt idx="7">
                  <c:v>38264</c:v>
                </c:pt>
                <c:pt idx="8">
                  <c:v>38421</c:v>
                </c:pt>
                <c:pt idx="9">
                  <c:v>38631</c:v>
                </c:pt>
                <c:pt idx="10">
                  <c:v>38747</c:v>
                </c:pt>
                <c:pt idx="11">
                  <c:v>38944</c:v>
                </c:pt>
                <c:pt idx="12">
                  <c:v>39115</c:v>
                </c:pt>
                <c:pt idx="13">
                  <c:v>39318</c:v>
                </c:pt>
                <c:pt idx="14">
                  <c:v>39492</c:v>
                </c:pt>
                <c:pt idx="15">
                  <c:v>39723</c:v>
                </c:pt>
                <c:pt idx="16">
                  <c:v>39842</c:v>
                </c:pt>
                <c:pt idx="17">
                  <c:v>40024</c:v>
                </c:pt>
                <c:pt idx="18">
                  <c:v>40198</c:v>
                </c:pt>
                <c:pt idx="19">
                  <c:v>40329</c:v>
                </c:pt>
                <c:pt idx="20">
                  <c:v>40409</c:v>
                </c:pt>
                <c:pt idx="21">
                  <c:v>40487</c:v>
                </c:pt>
                <c:pt idx="22">
                  <c:v>40639</c:v>
                </c:pt>
                <c:pt idx="23">
                  <c:v>40744</c:v>
                </c:pt>
                <c:pt idx="24">
                  <c:v>40799</c:v>
                </c:pt>
                <c:pt idx="25">
                  <c:v>40898</c:v>
                </c:pt>
                <c:pt idx="26">
                  <c:v>40977</c:v>
                </c:pt>
                <c:pt idx="27">
                  <c:v>41086</c:v>
                </c:pt>
                <c:pt idx="28">
                  <c:v>41164</c:v>
                </c:pt>
                <c:pt idx="29">
                  <c:v>41248</c:v>
                </c:pt>
                <c:pt idx="30">
                  <c:v>41338</c:v>
                </c:pt>
                <c:pt idx="31">
                  <c:v>41429</c:v>
                </c:pt>
                <c:pt idx="32">
                  <c:v>41516</c:v>
                </c:pt>
                <c:pt idx="33">
                  <c:v>41617</c:v>
                </c:pt>
                <c:pt idx="34">
                  <c:v>41696</c:v>
                </c:pt>
                <c:pt idx="35">
                  <c:v>41813</c:v>
                </c:pt>
                <c:pt idx="36">
                  <c:v>41886</c:v>
                </c:pt>
                <c:pt idx="37">
                  <c:v>41975</c:v>
                </c:pt>
                <c:pt idx="38">
                  <c:v>42046</c:v>
                </c:pt>
                <c:pt idx="39">
                  <c:v>42156</c:v>
                </c:pt>
                <c:pt idx="40">
                  <c:v>42254</c:v>
                </c:pt>
                <c:pt idx="41">
                  <c:v>42332</c:v>
                </c:pt>
                <c:pt idx="42">
                  <c:v>42403</c:v>
                </c:pt>
                <c:pt idx="43">
                  <c:v>42508</c:v>
                </c:pt>
                <c:pt idx="44">
                  <c:v>42579</c:v>
                </c:pt>
                <c:pt idx="45">
                  <c:v>42696</c:v>
                </c:pt>
              </c:numCache>
            </c:numRef>
          </c:xVal>
          <c:yVal>
            <c:numRef>
              <c:f>Kalium!$N$3:$N$252</c:f>
              <c:numCache>
                <c:formatCode>General</c:formatCode>
                <c:ptCount val="250"/>
                <c:pt idx="0">
                  <c:v>1.5</c:v>
                </c:pt>
                <c:pt idx="1">
                  <c:v>1.7</c:v>
                </c:pt>
                <c:pt idx="2">
                  <c:v>3.1</c:v>
                </c:pt>
                <c:pt idx="3">
                  <c:v>1.4</c:v>
                </c:pt>
                <c:pt idx="4">
                  <c:v>3.1</c:v>
                </c:pt>
                <c:pt idx="5">
                  <c:v>1.5</c:v>
                </c:pt>
                <c:pt idx="6">
                  <c:v>3.4</c:v>
                </c:pt>
                <c:pt idx="7">
                  <c:v>1.6</c:v>
                </c:pt>
                <c:pt idx="8">
                  <c:v>4.2</c:v>
                </c:pt>
                <c:pt idx="9">
                  <c:v>3.6</c:v>
                </c:pt>
                <c:pt idx="10">
                  <c:v>4.9000000000000004</c:v>
                </c:pt>
                <c:pt idx="11">
                  <c:v>3.9</c:v>
                </c:pt>
                <c:pt idx="12">
                  <c:v>6.4</c:v>
                </c:pt>
                <c:pt idx="13">
                  <c:v>5.2</c:v>
                </c:pt>
                <c:pt idx="14">
                  <c:v>7</c:v>
                </c:pt>
                <c:pt idx="15">
                  <c:v>3.7</c:v>
                </c:pt>
                <c:pt idx="16">
                  <c:v>5.2</c:v>
                </c:pt>
                <c:pt idx="17">
                  <c:v>5.0999999999999996</c:v>
                </c:pt>
                <c:pt idx="18">
                  <c:v>6.9</c:v>
                </c:pt>
                <c:pt idx="19">
                  <c:v>6.17</c:v>
                </c:pt>
                <c:pt idx="20">
                  <c:v>5.6</c:v>
                </c:pt>
                <c:pt idx="21">
                  <c:v>9.89</c:v>
                </c:pt>
                <c:pt idx="22">
                  <c:v>7.3</c:v>
                </c:pt>
                <c:pt idx="23">
                  <c:v>8.34</c:v>
                </c:pt>
                <c:pt idx="24">
                  <c:v>6.9</c:v>
                </c:pt>
                <c:pt idx="25">
                  <c:v>10.1</c:v>
                </c:pt>
                <c:pt idx="26">
                  <c:v>7</c:v>
                </c:pt>
                <c:pt idx="27">
                  <c:v>8.5299999999999994</c:v>
                </c:pt>
                <c:pt idx="28">
                  <c:v>6.5</c:v>
                </c:pt>
                <c:pt idx="29">
                  <c:v>10.199999999999999</c:v>
                </c:pt>
                <c:pt idx="30">
                  <c:v>7.5</c:v>
                </c:pt>
                <c:pt idx="31">
                  <c:v>8.4499999999999993</c:v>
                </c:pt>
                <c:pt idx="32">
                  <c:v>4.5</c:v>
                </c:pt>
                <c:pt idx="33">
                  <c:v>7.29</c:v>
                </c:pt>
                <c:pt idx="34">
                  <c:v>7.2</c:v>
                </c:pt>
                <c:pt idx="35">
                  <c:v>6.66</c:v>
                </c:pt>
                <c:pt idx="36">
                  <c:v>6.6</c:v>
                </c:pt>
                <c:pt idx="37">
                  <c:v>10.6</c:v>
                </c:pt>
                <c:pt idx="38">
                  <c:v>7</c:v>
                </c:pt>
                <c:pt idx="39">
                  <c:v>7.81</c:v>
                </c:pt>
                <c:pt idx="40">
                  <c:v>5.0999999999999996</c:v>
                </c:pt>
                <c:pt idx="41">
                  <c:v>5.46</c:v>
                </c:pt>
                <c:pt idx="42">
                  <c:v>7.2</c:v>
                </c:pt>
                <c:pt idx="43">
                  <c:v>12.8</c:v>
                </c:pt>
                <c:pt idx="44">
                  <c:v>6.5</c:v>
                </c:pt>
                <c:pt idx="45">
                  <c:v>7.28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A6-45ED-A93F-0E86571B66B3}"/>
            </c:ext>
          </c:extLst>
        </c:ser>
        <c:ser>
          <c:idx val="1"/>
          <c:order val="1"/>
          <c:tx>
            <c:v>Q95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Kalium!$E$57:$E$58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Kalium!$F$57:$F$58</c:f>
              <c:numCache>
                <c:formatCode>0.000</c:formatCode>
                <c:ptCount val="2"/>
                <c:pt idx="0">
                  <c:v>11.125782952713708</c:v>
                </c:pt>
                <c:pt idx="1">
                  <c:v>11.125782952713708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A6-45ED-A93F-0E86571B66B3}"/>
            </c:ext>
          </c:extLst>
        </c:ser>
        <c:ser>
          <c:idx val="4"/>
          <c:order val="2"/>
          <c:tx>
            <c:v>Q95Log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Kalium!$E$57:$E$58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Kalium!$J$57:$J$58</c:f>
              <c:numCache>
                <c:formatCode>0.000</c:formatCode>
                <c:ptCount val="2"/>
                <c:pt idx="0">
                  <c:v>13.161299184560592</c:v>
                </c:pt>
                <c:pt idx="1">
                  <c:v>13.161299184560592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A6-45ED-A93F-0E86571B66B3}"/>
            </c:ext>
          </c:extLst>
        </c:ser>
        <c:ser>
          <c:idx val="9"/>
          <c:order val="3"/>
          <c:tx>
            <c:v>vT</c:v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xVal>
            <c:numRef>
              <c:f>Kalium!$G$122:$G$123</c:f>
              <c:numCache>
                <c:formatCode>d/m/yyyy;@</c:formatCode>
                <c:ptCount val="2"/>
                <c:pt idx="0">
                  <c:v>1.4</c:v>
                </c:pt>
                <c:pt idx="1">
                  <c:v>42696</c:v>
                </c:pt>
              </c:numCache>
            </c:numRef>
          </c:xVal>
          <c:yVal>
            <c:numRef>
              <c:f>Kalium!$I$122:$I$123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A6-45ED-A93F-0E86571B66B3}"/>
            </c:ext>
          </c:extLst>
        </c:ser>
        <c:ser>
          <c:idx val="10"/>
          <c:order val="4"/>
          <c:tx>
            <c:v>Trend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Kalium!$G$122:$G$123</c:f>
              <c:numCache>
                <c:formatCode>d/m/yyyy;@</c:formatCode>
                <c:ptCount val="2"/>
                <c:pt idx="0">
                  <c:v>1.4</c:v>
                </c:pt>
                <c:pt idx="1">
                  <c:v>42696</c:v>
                </c:pt>
              </c:numCache>
            </c:numRef>
          </c:xVal>
          <c:yVal>
            <c:numRef>
              <c:f>Kalium!$J$122:$J$123</c:f>
              <c:numCache>
                <c:formatCode>General</c:formatCode>
                <c:ptCount val="2"/>
                <c:pt idx="0">
                  <c:v>-40.438856198963087</c:v>
                </c:pt>
                <c:pt idx="1">
                  <c:v>8.8026755081985044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A6-45ED-A93F-0E86571B66B3}"/>
            </c:ext>
          </c:extLst>
        </c:ser>
        <c:ser>
          <c:idx val="2"/>
          <c:order val="5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Kalium!$E$57:$E$58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Kalium!$G$57:$G$58</c:f>
              <c:numCache>
                <c:formatCode>0.000</c:formatCode>
                <c:ptCount val="2"/>
                <c:pt idx="0">
                  <c:v>0.95595617772106944</c:v>
                </c:pt>
                <c:pt idx="1">
                  <c:v>0.95595617772106944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A6-45ED-A93F-0E86571B66B3}"/>
            </c:ext>
          </c:extLst>
        </c:ser>
        <c:ser>
          <c:idx val="3"/>
          <c:order val="6"/>
          <c:tx>
            <c:v>Q98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Kalium!$E$57:$E$58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Kalium!$H$57:$H$58</c:f>
              <c:numCache>
                <c:formatCode>0.000</c:formatCode>
                <c:ptCount val="2"/>
                <c:pt idx="0">
                  <c:v>12.076326105231239</c:v>
                </c:pt>
                <c:pt idx="1">
                  <c:v>12.076326105231239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A6-45ED-A93F-0E86571B66B3}"/>
            </c:ext>
          </c:extLst>
        </c:ser>
        <c:ser>
          <c:idx val="6"/>
          <c:order val="7"/>
          <c:tx>
            <c:v>Q98Log</c:v>
          </c:tx>
          <c:spPr>
            <a:ln w="1270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Kalium!$E$57:$E$58</c:f>
              <c:numCache>
                <c:formatCode>m/d/yyyy</c:formatCode>
                <c:ptCount val="2"/>
                <c:pt idx="0">
                  <c:v>1</c:v>
                </c:pt>
                <c:pt idx="1">
                  <c:v>51501</c:v>
                </c:pt>
              </c:numCache>
            </c:numRef>
          </c:xVal>
          <c:yVal>
            <c:numRef>
              <c:f>Kalium!$K$57:$K$58</c:f>
              <c:numCache>
                <c:formatCode>0.000</c:formatCode>
                <c:ptCount val="2"/>
                <c:pt idx="0">
                  <c:v>16.456723628247154</c:v>
                </c:pt>
                <c:pt idx="1">
                  <c:v>16.456723628247154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3A6-45ED-A93F-0E86571B6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43200"/>
        <c:axId val="133844992"/>
      </c:scatterChart>
      <c:valAx>
        <c:axId val="133843200"/>
        <c:scaling>
          <c:orientation val="minMax"/>
          <c:max val="46022"/>
          <c:min val="35796"/>
        </c:scaling>
        <c:delete val="0"/>
        <c:axPos val="b"/>
        <c:numFmt formatCode="yyyy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3844992"/>
        <c:crossesAt val="0"/>
        <c:crossBetween val="midCat"/>
        <c:majorUnit val="1461"/>
        <c:minorUnit val="365.25"/>
      </c:valAx>
      <c:valAx>
        <c:axId val="13384499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de-DE"/>
          </a:p>
        </c:txPr>
        <c:crossAx val="133843200"/>
        <c:crossesAt val="0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81172749926753"/>
          <c:y val="3.7500045776423067E-2"/>
          <c:w val="0.13577333952624246"/>
          <c:h val="0.34126456692913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25698324022353E-2"/>
          <c:y val="5.5555699083630651E-2"/>
          <c:w val="0.88687150837988826"/>
          <c:h val="0.83862650521480553"/>
        </c:manualLayout>
      </c:layout>
      <c:scatterChart>
        <c:scatterStyle val="lineMarker"/>
        <c:varyColors val="0"/>
        <c:ser>
          <c:idx val="0"/>
          <c:order val="0"/>
          <c:tx>
            <c:v>Normalverteilung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Magnesium!$F$63:$F$113</c:f>
              <c:numCache>
                <c:formatCode>General</c:formatCode>
                <c:ptCount val="51"/>
                <c:pt idx="0">
                  <c:v>-0.82214998147436091</c:v>
                </c:pt>
                <c:pt idx="1">
                  <c:v>-0.159177025693646</c:v>
                </c:pt>
                <c:pt idx="2">
                  <c:v>0.50379593008706891</c:v>
                </c:pt>
                <c:pt idx="3">
                  <c:v>1.1667688858677803</c:v>
                </c:pt>
                <c:pt idx="4">
                  <c:v>1.8297418416484934</c:v>
                </c:pt>
                <c:pt idx="5">
                  <c:v>2.4927147974292083</c:v>
                </c:pt>
                <c:pt idx="6">
                  <c:v>3.1556877532099232</c:v>
                </c:pt>
                <c:pt idx="7">
                  <c:v>3.8186607089906346</c:v>
                </c:pt>
                <c:pt idx="8">
                  <c:v>4.4816336647713495</c:v>
                </c:pt>
                <c:pt idx="9">
                  <c:v>5.1446066205520626</c:v>
                </c:pt>
                <c:pt idx="10">
                  <c:v>5.8075795763327775</c:v>
                </c:pt>
                <c:pt idx="11">
                  <c:v>6.4705525321134907</c:v>
                </c:pt>
                <c:pt idx="12">
                  <c:v>7.1335254878942038</c:v>
                </c:pt>
                <c:pt idx="13">
                  <c:v>7.7964984436749178</c:v>
                </c:pt>
                <c:pt idx="14">
                  <c:v>8.4594713994556301</c:v>
                </c:pt>
                <c:pt idx="15">
                  <c:v>9.122444355236345</c:v>
                </c:pt>
                <c:pt idx="16">
                  <c:v>9.7854173110170581</c:v>
                </c:pt>
                <c:pt idx="17">
                  <c:v>10.448390266797773</c:v>
                </c:pt>
                <c:pt idx="18">
                  <c:v>11.111363222578486</c:v>
                </c:pt>
                <c:pt idx="19">
                  <c:v>11.774336178359199</c:v>
                </c:pt>
                <c:pt idx="20">
                  <c:v>12.437309134139912</c:v>
                </c:pt>
                <c:pt idx="21">
                  <c:v>13.100282089920627</c:v>
                </c:pt>
                <c:pt idx="22">
                  <c:v>13.763255045701341</c:v>
                </c:pt>
                <c:pt idx="23">
                  <c:v>14.426228001482054</c:v>
                </c:pt>
                <c:pt idx="24">
                  <c:v>15.089200957262769</c:v>
                </c:pt>
                <c:pt idx="25">
                  <c:v>15.752173913043482</c:v>
                </c:pt>
                <c:pt idx="26">
                  <c:v>16.415146868824195</c:v>
                </c:pt>
                <c:pt idx="27">
                  <c:v>17.078119824604908</c:v>
                </c:pt>
                <c:pt idx="28">
                  <c:v>17.741092780385621</c:v>
                </c:pt>
                <c:pt idx="29">
                  <c:v>18.40406573616637</c:v>
                </c:pt>
                <c:pt idx="30">
                  <c:v>19.067038691947083</c:v>
                </c:pt>
                <c:pt idx="31">
                  <c:v>19.730011647727796</c:v>
                </c:pt>
                <c:pt idx="32">
                  <c:v>20.392984603508509</c:v>
                </c:pt>
                <c:pt idx="33">
                  <c:v>21.055957559289226</c:v>
                </c:pt>
                <c:pt idx="34">
                  <c:v>21.718930515069939</c:v>
                </c:pt>
                <c:pt idx="35">
                  <c:v>22.381903470850652</c:v>
                </c:pt>
                <c:pt idx="36">
                  <c:v>23.044876426631365</c:v>
                </c:pt>
                <c:pt idx="37">
                  <c:v>23.707849382412078</c:v>
                </c:pt>
                <c:pt idx="38">
                  <c:v>24.370822338192792</c:v>
                </c:pt>
                <c:pt idx="39">
                  <c:v>25.033795293973505</c:v>
                </c:pt>
                <c:pt idx="40">
                  <c:v>25.696768249754221</c:v>
                </c:pt>
                <c:pt idx="41">
                  <c:v>26.359741205534931</c:v>
                </c:pt>
                <c:pt idx="42">
                  <c:v>27.022714161315648</c:v>
                </c:pt>
                <c:pt idx="43">
                  <c:v>27.685687117096361</c:v>
                </c:pt>
                <c:pt idx="44">
                  <c:v>28.348660072877074</c:v>
                </c:pt>
                <c:pt idx="45">
                  <c:v>29.011633028657787</c:v>
                </c:pt>
                <c:pt idx="46">
                  <c:v>29.6746059844385</c:v>
                </c:pt>
                <c:pt idx="47">
                  <c:v>30.337578940219217</c:v>
                </c:pt>
                <c:pt idx="48">
                  <c:v>31.00055189599993</c:v>
                </c:pt>
                <c:pt idx="49">
                  <c:v>31.663524851780643</c:v>
                </c:pt>
                <c:pt idx="50">
                  <c:v>32.326497807561324</c:v>
                </c:pt>
              </c:numCache>
            </c:numRef>
          </c:xVal>
          <c:yVal>
            <c:numRef>
              <c:f>Magnesium!$G$63:$G$113</c:f>
              <c:numCache>
                <c:formatCode>General</c:formatCode>
                <c:ptCount val="51"/>
                <c:pt idx="0">
                  <c:v>4.4850080286715291E-7</c:v>
                </c:pt>
                <c:pt idx="1">
                  <c:v>1.1950107637097412E-6</c:v>
                </c:pt>
                <c:pt idx="2">
                  <c:v>3.0592053498004128E-6</c:v>
                </c:pt>
                <c:pt idx="3">
                  <c:v>7.5244309960370565E-6</c:v>
                </c:pt>
                <c:pt idx="4">
                  <c:v>1.7781439572336336E-5</c:v>
                </c:pt>
                <c:pt idx="5">
                  <c:v>4.0372755660081952E-5</c:v>
                </c:pt>
                <c:pt idx="6">
                  <c:v>8.8072046754204342E-5</c:v>
                </c:pt>
                <c:pt idx="7">
                  <c:v>1.8459333062634454E-4</c:v>
                </c:pt>
                <c:pt idx="8">
                  <c:v>3.7172531932979519E-4</c:v>
                </c:pt>
                <c:pt idx="9">
                  <c:v>7.1921129834243386E-4</c:v>
                </c:pt>
                <c:pt idx="10">
                  <c:v>1.3369620505014697E-3</c:v>
                </c:pt>
                <c:pt idx="11">
                  <c:v>2.3878656026500426E-3</c:v>
                </c:pt>
                <c:pt idx="12">
                  <c:v>4.0975937601226507E-3</c:v>
                </c:pt>
                <c:pt idx="13">
                  <c:v>6.7557899910023365E-3</c:v>
                </c:pt>
                <c:pt idx="14">
                  <c:v>1.07016711728329E-2</c:v>
                </c:pt>
                <c:pt idx="15">
                  <c:v>1.6287532105923857E-2</c:v>
                </c:pt>
                <c:pt idx="16">
                  <c:v>2.3817007198407604E-2</c:v>
                </c:pt>
                <c:pt idx="17">
                  <c:v>3.3461646877838556E-2</c:v>
                </c:pt>
                <c:pt idx="18">
                  <c:v>4.5168498754048436E-2</c:v>
                </c:pt>
                <c:pt idx="19">
                  <c:v>5.8580385003650835E-2</c:v>
                </c:pt>
                <c:pt idx="20">
                  <c:v>7.2995654621899261E-2</c:v>
                </c:pt>
                <c:pt idx="21">
                  <c:v>8.7391665145780617E-2</c:v>
                </c:pt>
                <c:pt idx="22">
                  <c:v>0.10052434265569581</c:v>
                </c:pt>
                <c:pt idx="23">
                  <c:v>0.11109658006174633</c:v>
                </c:pt>
                <c:pt idx="24">
                  <c:v>0.11796640890576479</c:v>
                </c:pt>
                <c:pt idx="25">
                  <c:v>0.12034948844380546</c:v>
                </c:pt>
                <c:pt idx="26">
                  <c:v>0.11796640890576479</c:v>
                </c:pt>
                <c:pt idx="27">
                  <c:v>0.11109658006174634</c:v>
                </c:pt>
                <c:pt idx="28">
                  <c:v>0.10052434265569583</c:v>
                </c:pt>
                <c:pt idx="29">
                  <c:v>8.7391665145779909E-2</c:v>
                </c:pt>
                <c:pt idx="30">
                  <c:v>7.299565462189854E-2</c:v>
                </c:pt>
                <c:pt idx="31">
                  <c:v>5.8580385003650155E-2</c:v>
                </c:pt>
                <c:pt idx="32">
                  <c:v>4.5168498754047826E-2</c:v>
                </c:pt>
                <c:pt idx="33">
                  <c:v>3.3461646877837981E-2</c:v>
                </c:pt>
                <c:pt idx="34">
                  <c:v>2.3817007198407177E-2</c:v>
                </c:pt>
                <c:pt idx="35">
                  <c:v>1.6287532105923524E-2</c:v>
                </c:pt>
                <c:pt idx="36">
                  <c:v>1.0701671172832671E-2</c:v>
                </c:pt>
                <c:pt idx="37">
                  <c:v>6.7557899910021778E-3</c:v>
                </c:pt>
                <c:pt idx="38">
                  <c:v>4.0975937601225483E-3</c:v>
                </c:pt>
                <c:pt idx="39">
                  <c:v>2.3878656026499762E-3</c:v>
                </c:pt>
                <c:pt idx="40">
                  <c:v>1.3369620505014244E-3</c:v>
                </c:pt>
                <c:pt idx="41">
                  <c:v>7.1921129834241336E-4</c:v>
                </c:pt>
                <c:pt idx="42">
                  <c:v>3.7172531932978234E-4</c:v>
                </c:pt>
                <c:pt idx="43">
                  <c:v>1.8459333062633844E-4</c:v>
                </c:pt>
                <c:pt idx="44">
                  <c:v>8.807204675420113E-5</c:v>
                </c:pt>
                <c:pt idx="45">
                  <c:v>4.037275566008038E-5</c:v>
                </c:pt>
                <c:pt idx="46">
                  <c:v>1.7781439572335672E-5</c:v>
                </c:pt>
                <c:pt idx="47">
                  <c:v>7.5244309960367347E-6</c:v>
                </c:pt>
                <c:pt idx="48">
                  <c:v>3.0592053498002607E-6</c:v>
                </c:pt>
                <c:pt idx="49">
                  <c:v>1.1950107637096797E-6</c:v>
                </c:pt>
                <c:pt idx="50">
                  <c:v>4.4850080286715291E-7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FE-4F0D-B786-58195A3B5806}"/>
            </c:ext>
          </c:extLst>
        </c:ser>
        <c:ser>
          <c:idx val="1"/>
          <c:order val="1"/>
          <c:tx>
            <c:v>LogNormalverteilung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Magnesium!$I$63:$I$113</c:f>
              <c:numCache>
                <c:formatCode>General</c:formatCode>
                <c:ptCount val="51"/>
                <c:pt idx="0">
                  <c:v>5.8528422418086485</c:v>
                </c:pt>
                <c:pt idx="1">
                  <c:v>6.0845811855917677</c:v>
                </c:pt>
                <c:pt idx="2">
                  <c:v>6.3254956608255899</c:v>
                </c:pt>
                <c:pt idx="3">
                  <c:v>6.5759489658665666</c:v>
                </c:pt>
                <c:pt idx="4">
                  <c:v>6.8363187835998911</c:v>
                </c:pt>
                <c:pt idx="5">
                  <c:v>7.1069977509842186</c:v>
                </c:pt>
                <c:pt idx="6">
                  <c:v>7.3883940511471176</c:v>
                </c:pt>
                <c:pt idx="7">
                  <c:v>7.6809320289240866</c:v>
                </c:pt>
                <c:pt idx="8">
                  <c:v>7.9850528307693684</c:v>
                </c:pt>
                <c:pt idx="9">
                  <c:v>8.3012150700035985</c:v>
                </c:pt>
                <c:pt idx="10">
                  <c:v>8.6298955184013817</c:v>
                </c:pt>
                <c:pt idx="11">
                  <c:v>8.971589825161816</c:v>
                </c:pt>
                <c:pt idx="12">
                  <c:v>9.3268132643461108</c:v>
                </c:pt>
                <c:pt idx="13">
                  <c:v>9.6961015119094096</c:v>
                </c:pt>
                <c:pt idx="14">
                  <c:v>10.080011453498646</c:v>
                </c:pt>
                <c:pt idx="15">
                  <c:v>10.479122024234563</c:v>
                </c:pt>
                <c:pt idx="16">
                  <c:v>10.894035081744223</c:v>
                </c:pt>
                <c:pt idx="17">
                  <c:v>11.325376313760673</c:v>
                </c:pt>
                <c:pt idx="18">
                  <c:v>11.773796181658263</c:v>
                </c:pt>
                <c:pt idx="19">
                  <c:v>12.239970901346597</c:v>
                </c:pt>
                <c:pt idx="20">
                  <c:v>12.724603463002257</c:v>
                </c:pt>
                <c:pt idx="21">
                  <c:v>13.228424691175992</c:v>
                </c:pt>
                <c:pt idx="22">
                  <c:v>13.752194346874136</c:v>
                </c:pt>
                <c:pt idx="23">
                  <c:v>14.296702273276059</c:v>
                </c:pt>
                <c:pt idx="24">
                  <c:v>14.862769586815485</c:v>
                </c:pt>
                <c:pt idx="25">
                  <c:v>15.451249915421805</c:v>
                </c:pt>
                <c:pt idx="26">
                  <c:v>16.063030685788576</c:v>
                </c:pt>
                <c:pt idx="27">
                  <c:v>16.699034461610516</c:v>
                </c:pt>
                <c:pt idx="28">
                  <c:v>17.360220334807003</c:v>
                </c:pt>
                <c:pt idx="29">
                  <c:v>18.04758537183001</c:v>
                </c:pt>
                <c:pt idx="30">
                  <c:v>18.762166117237406</c:v>
                </c:pt>
                <c:pt idx="31">
                  <c:v>19.505040156799499</c:v>
                </c:pt>
                <c:pt idx="32">
                  <c:v>20.277327742495174</c:v>
                </c:pt>
                <c:pt idx="33">
                  <c:v>21.080193481848816</c:v>
                </c:pt>
                <c:pt idx="34">
                  <c:v>21.914848094155243</c:v>
                </c:pt>
                <c:pt idx="35">
                  <c:v>22.782550236240947</c:v>
                </c:pt>
                <c:pt idx="36">
                  <c:v>23.684608400515128</c:v>
                </c:pt>
                <c:pt idx="37">
                  <c:v>24.622382888172613</c:v>
                </c:pt>
                <c:pt idx="38">
                  <c:v>25.597287860524204</c:v>
                </c:pt>
                <c:pt idx="39">
                  <c:v>26.610793471548025</c:v>
                </c:pt>
                <c:pt idx="40">
                  <c:v>27.664428084877638</c:v>
                </c:pt>
                <c:pt idx="41">
                  <c:v>28.75978057857008</c:v>
                </c:pt>
                <c:pt idx="42">
                  <c:v>29.898502741129612</c:v>
                </c:pt>
                <c:pt idx="43">
                  <c:v>31.082311762400092</c:v>
                </c:pt>
                <c:pt idx="44">
                  <c:v>32.312992823082567</c:v>
                </c:pt>
                <c:pt idx="45">
                  <c:v>33.592401786782688</c:v>
                </c:pt>
                <c:pt idx="46">
                  <c:v>34.922467998647896</c:v>
                </c:pt>
                <c:pt idx="47">
                  <c:v>36.305197194814582</c:v>
                </c:pt>
                <c:pt idx="48">
                  <c:v>37.742674527052458</c:v>
                </c:pt>
                <c:pt idx="49">
                  <c:v>39.237067707167675</c:v>
                </c:pt>
                <c:pt idx="50">
                  <c:v>40.790630275906146</c:v>
                </c:pt>
              </c:numCache>
            </c:numRef>
          </c:xVal>
          <c:yVal>
            <c:numRef>
              <c:f>Magnesium!$J$63:$J$113</c:f>
              <c:numCache>
                <c:formatCode>General</c:formatCode>
                <c:ptCount val="51"/>
                <c:pt idx="0">
                  <c:v>1.3083358290688296E-6</c:v>
                </c:pt>
                <c:pt idx="1">
                  <c:v>3.3532347265353451E-6</c:v>
                </c:pt>
                <c:pt idx="2">
                  <c:v>8.2572778061742295E-6</c:v>
                </c:pt>
                <c:pt idx="3">
                  <c:v>1.9536108469287752E-5</c:v>
                </c:pt>
                <c:pt idx="4">
                  <c:v>4.4408636640968438E-5</c:v>
                </c:pt>
                <c:pt idx="5">
                  <c:v>9.6989572167335744E-5</c:v>
                </c:pt>
                <c:pt idx="6">
                  <c:v>2.0352176838799328E-4</c:v>
                </c:pt>
                <c:pt idx="7">
                  <c:v>4.10322103255949E-4</c:v>
                </c:pt>
                <c:pt idx="8">
                  <c:v>7.9481705509236141E-4</c:v>
                </c:pt>
                <c:pt idx="9">
                  <c:v>1.479236667680009E-3</c:v>
                </c:pt>
                <c:pt idx="10">
                  <c:v>2.6450651317170642E-3</c:v>
                </c:pt>
                <c:pt idx="11">
                  <c:v>4.5442613233585569E-3</c:v>
                </c:pt>
                <c:pt idx="12">
                  <c:v>7.5009875794949873E-3</c:v>
                </c:pt>
                <c:pt idx="13">
                  <c:v>1.1896023551892029E-2</c:v>
                </c:pt>
                <c:pt idx="14">
                  <c:v>1.812647703133255E-2</c:v>
                </c:pt>
                <c:pt idx="15">
                  <c:v>2.6537084999400905E-2</c:v>
                </c:pt>
                <c:pt idx="16">
                  <c:v>3.7326841849206094E-2</c:v>
                </c:pt>
                <c:pt idx="17">
                  <c:v>5.0444927078839207E-2</c:v>
                </c:pt>
                <c:pt idx="18">
                  <c:v>6.5500101229852392E-2</c:v>
                </c:pt>
                <c:pt idx="19">
                  <c:v>8.1713660246270678E-2</c:v>
                </c:pt>
                <c:pt idx="20">
                  <c:v>9.7943490793123519E-2</c:v>
                </c:pt>
                <c:pt idx="21">
                  <c:v>0.11279366629620118</c:v>
                </c:pt>
                <c:pt idx="22">
                  <c:v>0.1248021505132466</c:v>
                </c:pt>
                <c:pt idx="23">
                  <c:v>0.13267455667810157</c:v>
                </c:pt>
                <c:pt idx="24">
                  <c:v>0.13551315048065471</c:v>
                </c:pt>
                <c:pt idx="25">
                  <c:v>0.13298524563072958</c:v>
                </c:pt>
                <c:pt idx="26">
                  <c:v>0.12538734258656167</c:v>
                </c:pt>
                <c:pt idx="27">
                  <c:v>0.1135879227284841</c:v>
                </c:pt>
                <c:pt idx="28">
                  <c:v>9.8864150089434069E-2</c:v>
                </c:pt>
                <c:pt idx="29">
                  <c:v>8.2674911324695732E-2</c:v>
                </c:pt>
                <c:pt idx="30">
                  <c:v>6.6425810023059598E-2</c:v>
                </c:pt>
                <c:pt idx="31">
                  <c:v>5.1277660318387076E-2</c:v>
                </c:pt>
                <c:pt idx="32">
                  <c:v>3.8031877353448415E-2</c:v>
                </c:pt>
                <c:pt idx="33">
                  <c:v>2.7101638454124635E-2</c:v>
                </c:pt>
                <c:pt idx="34">
                  <c:v>1.8555452579405055E-2</c:v>
                </c:pt>
                <c:pt idx="35">
                  <c:v>1.2206067757675384E-2</c:v>
                </c:pt>
                <c:pt idx="36">
                  <c:v>7.7145077933158772E-3</c:v>
                </c:pt>
                <c:pt idx="37">
                  <c:v>4.6845608920578208E-3</c:v>
                </c:pt>
                <c:pt idx="38">
                  <c:v>2.7331141812105453E-3</c:v>
                </c:pt>
                <c:pt idx="39">
                  <c:v>1.5320568586242647E-3</c:v>
                </c:pt>
                <c:pt idx="40">
                  <c:v>8.2512588570598112E-4</c:v>
                </c:pt>
                <c:pt idx="41">
                  <c:v>4.2696646048115861E-4</c:v>
                </c:pt>
                <c:pt idx="42">
                  <c:v>2.1227337805709314E-4</c:v>
                </c:pt>
                <c:pt idx="43">
                  <c:v>1.0139709713891144E-4</c:v>
                </c:pt>
                <c:pt idx="44">
                  <c:v>4.6535430223677139E-5</c:v>
                </c:pt>
                <c:pt idx="45">
                  <c:v>2.0519660238565119E-5</c:v>
                </c:pt>
                <c:pt idx="46">
                  <c:v>8.6933030287108358E-6</c:v>
                </c:pt>
                <c:pt idx="47">
                  <c:v>3.5385691915209749E-6</c:v>
                </c:pt>
                <c:pt idx="48">
                  <c:v>1.3838811262764744E-6</c:v>
                </c:pt>
                <c:pt idx="49">
                  <c:v>5.1999372328788627E-7</c:v>
                </c:pt>
                <c:pt idx="50">
                  <c:v>1.8772652334741886E-7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FE-4F0D-B786-58195A3B5806}"/>
            </c:ext>
          </c:extLst>
        </c:ser>
        <c:ser>
          <c:idx val="2"/>
          <c:order val="2"/>
          <c:tx>
            <c:v>Histogramm</c:v>
          </c:tx>
          <c:spPr>
            <a:ln w="25400">
              <a:solidFill>
                <a:srgbClr val="969696"/>
              </a:solidFill>
              <a:prstDash val="lgDashDot"/>
            </a:ln>
          </c:spPr>
          <c:marker>
            <c:symbol val="none"/>
          </c:marker>
          <c:xVal>
            <c:numRef>
              <c:f>Magnesium!$T$46:$T$97</c:f>
              <c:numCache>
                <c:formatCode>0.0</c:formatCode>
                <c:ptCount val="52"/>
                <c:pt idx="0">
                  <c:v>9.5870779999999982</c:v>
                </c:pt>
                <c:pt idx="1">
                  <c:v>9.6029219999999995</c:v>
                </c:pt>
                <c:pt idx="2">
                  <c:v>10.379277999999998</c:v>
                </c:pt>
                <c:pt idx="3">
                  <c:v>10.395121999999999</c:v>
                </c:pt>
                <c:pt idx="4">
                  <c:v>11.171477999999999</c:v>
                </c:pt>
                <c:pt idx="5">
                  <c:v>11.187322</c:v>
                </c:pt>
                <c:pt idx="6">
                  <c:v>11.963677999999998</c:v>
                </c:pt>
                <c:pt idx="7">
                  <c:v>11.979521999999999</c:v>
                </c:pt>
                <c:pt idx="8">
                  <c:v>12.755877999999999</c:v>
                </c:pt>
                <c:pt idx="9">
                  <c:v>12.771722</c:v>
                </c:pt>
                <c:pt idx="10">
                  <c:v>13.548077999999999</c:v>
                </c:pt>
                <c:pt idx="11">
                  <c:v>13.563922</c:v>
                </c:pt>
                <c:pt idx="12">
                  <c:v>14.340277999999998</c:v>
                </c:pt>
                <c:pt idx="13">
                  <c:v>14.356121999999999</c:v>
                </c:pt>
                <c:pt idx="14">
                  <c:v>15.132477999999999</c:v>
                </c:pt>
                <c:pt idx="15">
                  <c:v>15.148322</c:v>
                </c:pt>
                <c:pt idx="16">
                  <c:v>15.924678</c:v>
                </c:pt>
                <c:pt idx="17">
                  <c:v>15.940522000000001</c:v>
                </c:pt>
                <c:pt idx="18">
                  <c:v>16.716878000000001</c:v>
                </c:pt>
                <c:pt idx="19">
                  <c:v>16.732722000000003</c:v>
                </c:pt>
                <c:pt idx="20">
                  <c:v>17.509077999999999</c:v>
                </c:pt>
                <c:pt idx="21">
                  <c:v>17.524922</c:v>
                </c:pt>
                <c:pt idx="22">
                  <c:v>18.301278</c:v>
                </c:pt>
                <c:pt idx="23">
                  <c:v>18.317122000000001</c:v>
                </c:pt>
                <c:pt idx="24">
                  <c:v>19.093477999999998</c:v>
                </c:pt>
                <c:pt idx="25">
                  <c:v>19.109321999999999</c:v>
                </c:pt>
                <c:pt idx="26">
                  <c:v>19.885677999999999</c:v>
                </c:pt>
                <c:pt idx="27">
                  <c:v>19.901522</c:v>
                </c:pt>
                <c:pt idx="28">
                  <c:v>20.677878</c:v>
                </c:pt>
                <c:pt idx="29">
                  <c:v>20.693722000000001</c:v>
                </c:pt>
                <c:pt idx="30">
                  <c:v>21.470078000000001</c:v>
                </c:pt>
                <c:pt idx="31">
                  <c:v>21.485922000000002</c:v>
                </c:pt>
                <c:pt idx="32">
                  <c:v>22.262278000000002</c:v>
                </c:pt>
                <c:pt idx="33">
                  <c:v>22.278122000000003</c:v>
                </c:pt>
                <c:pt idx="34">
                  <c:v>23.054478</c:v>
                </c:pt>
                <c:pt idx="35">
                  <c:v>23.070322000000001</c:v>
                </c:pt>
                <c:pt idx="36">
                  <c:v>23.846678000000001</c:v>
                </c:pt>
                <c:pt idx="37">
                  <c:v>23.862522000000002</c:v>
                </c:pt>
                <c:pt idx="38">
                  <c:v>24.638877999999998</c:v>
                </c:pt>
                <c:pt idx="39">
                  <c:v>24.654722</c:v>
                </c:pt>
                <c:pt idx="40">
                  <c:v>25.431077999999999</c:v>
                </c:pt>
                <c:pt idx="41">
                  <c:v>25.446922000000001</c:v>
                </c:pt>
                <c:pt idx="42">
                  <c:v>26.223278000000001</c:v>
                </c:pt>
                <c:pt idx="43">
                  <c:v>26.239122000000002</c:v>
                </c:pt>
                <c:pt idx="44">
                  <c:v>27.015478000000002</c:v>
                </c:pt>
                <c:pt idx="45">
                  <c:v>27.031322000000003</c:v>
                </c:pt>
                <c:pt idx="46">
                  <c:v>27.807678000000003</c:v>
                </c:pt>
                <c:pt idx="47">
                  <c:v>27.823522000000004</c:v>
                </c:pt>
                <c:pt idx="48">
                  <c:v>28.599878</c:v>
                </c:pt>
                <c:pt idx="49">
                  <c:v>28.615722000000002</c:v>
                </c:pt>
                <c:pt idx="50">
                  <c:v>29.392078000000001</c:v>
                </c:pt>
                <c:pt idx="51">
                  <c:v>29.407922000000003</c:v>
                </c:pt>
              </c:numCache>
            </c:numRef>
          </c:xVal>
          <c:yVal>
            <c:numRef>
              <c:f>Magnesium!$U$46:$U$97</c:f>
              <c:numCache>
                <c:formatCode>0.0000</c:formatCode>
                <c:ptCount val="52"/>
                <c:pt idx="0">
                  <c:v>0</c:v>
                </c:pt>
                <c:pt idx="1">
                  <c:v>2.7441467350142142E-2</c:v>
                </c:pt>
                <c:pt idx="2">
                  <c:v>2.7441467350142142E-2</c:v>
                </c:pt>
                <c:pt idx="3">
                  <c:v>2.7441467350142142E-2</c:v>
                </c:pt>
                <c:pt idx="4">
                  <c:v>2.7441467350142142E-2</c:v>
                </c:pt>
                <c:pt idx="5">
                  <c:v>2.7441467350142142E-2</c:v>
                </c:pt>
                <c:pt idx="6">
                  <c:v>2.7441467350142142E-2</c:v>
                </c:pt>
                <c:pt idx="7">
                  <c:v>2.7441467350142142E-2</c:v>
                </c:pt>
                <c:pt idx="8">
                  <c:v>2.7441467350142142E-2</c:v>
                </c:pt>
                <c:pt idx="9">
                  <c:v>5.4882934700284283E-2</c:v>
                </c:pt>
                <c:pt idx="10">
                  <c:v>5.4882934700284283E-2</c:v>
                </c:pt>
                <c:pt idx="11">
                  <c:v>0.19209027145099497</c:v>
                </c:pt>
                <c:pt idx="12">
                  <c:v>0.19209027145099497</c:v>
                </c:pt>
                <c:pt idx="13">
                  <c:v>0.10976586940056857</c:v>
                </c:pt>
                <c:pt idx="14">
                  <c:v>0.10976586940056857</c:v>
                </c:pt>
                <c:pt idx="15">
                  <c:v>0.27441467350142146</c:v>
                </c:pt>
                <c:pt idx="16">
                  <c:v>0.27441467350142146</c:v>
                </c:pt>
                <c:pt idx="17">
                  <c:v>0.10976586940056857</c:v>
                </c:pt>
                <c:pt idx="18">
                  <c:v>0.10976586940056857</c:v>
                </c:pt>
                <c:pt idx="19">
                  <c:v>5.4882934700284283E-2</c:v>
                </c:pt>
                <c:pt idx="20">
                  <c:v>5.4882934700284283E-2</c:v>
                </c:pt>
                <c:pt idx="21">
                  <c:v>5.4882934700284283E-2</c:v>
                </c:pt>
                <c:pt idx="22">
                  <c:v>5.4882934700284283E-2</c:v>
                </c:pt>
                <c:pt idx="23">
                  <c:v>0.13720733675071073</c:v>
                </c:pt>
                <c:pt idx="24">
                  <c:v>0.13720733675071073</c:v>
                </c:pt>
                <c:pt idx="25">
                  <c:v>5.4882934700284283E-2</c:v>
                </c:pt>
                <c:pt idx="26">
                  <c:v>5.4882934700284283E-2</c:v>
                </c:pt>
                <c:pt idx="27">
                  <c:v>5.4882934700284283E-2</c:v>
                </c:pt>
                <c:pt idx="28">
                  <c:v>5.4882934700284283E-2</c:v>
                </c:pt>
                <c:pt idx="29">
                  <c:v>0</c:v>
                </c:pt>
                <c:pt idx="30">
                  <c:v>0</c:v>
                </c:pt>
                <c:pt idx="31">
                  <c:v>2.7441467350142142E-2</c:v>
                </c:pt>
                <c:pt idx="32">
                  <c:v>2.7441467350142142E-2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2.7441467350142142E-2</c:v>
                </c:pt>
                <c:pt idx="40">
                  <c:v>2.7441467350142142E-2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2.7441467350142142E-2</c:v>
                </c:pt>
                <c:pt idx="50">
                  <c:v>2.7441467350142142E-2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FE-4F0D-B786-58195A3B5806}"/>
            </c:ext>
          </c:extLst>
        </c:ser>
        <c:ser>
          <c:idx val="3"/>
          <c:order val="3"/>
          <c:tx>
            <c:v>Q95 No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Magnesium!$U$3:$V$3</c:f>
              <c:numCache>
                <c:formatCode>0.000</c:formatCode>
                <c:ptCount val="2"/>
                <c:pt idx="0">
                  <c:v>22.249189493314802</c:v>
                </c:pt>
                <c:pt idx="1">
                  <c:v>22.249189493314802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FE-4F0D-B786-58195A3B5806}"/>
            </c:ext>
          </c:extLst>
        </c:ser>
        <c:ser>
          <c:idx val="4"/>
          <c:order val="4"/>
          <c:tx>
            <c:v>Q95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Magnesium!$U$4:$V$4</c:f>
              <c:numCache>
                <c:formatCode>0.000</c:formatCode>
                <c:ptCount val="2"/>
                <c:pt idx="0">
                  <c:v>21.264570817632411</c:v>
                </c:pt>
                <c:pt idx="1">
                  <c:v>21.264570817632411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FE-4F0D-B786-58195A3B5806}"/>
            </c:ext>
          </c:extLst>
        </c:ser>
        <c:ser>
          <c:idx val="5"/>
          <c:order val="5"/>
          <c:tx>
            <c:v>Q98 No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Magnesium!$U$5:$V$5</c:f>
              <c:numCache>
                <c:formatCode>0.000</c:formatCode>
                <c:ptCount val="2"/>
                <c:pt idx="0">
                  <c:v>23.463702544178659</c:v>
                </c:pt>
                <c:pt idx="1">
                  <c:v>23.463702544178659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FE-4F0D-B786-58195A3B5806}"/>
            </c:ext>
          </c:extLst>
        </c:ser>
        <c:ser>
          <c:idx val="6"/>
          <c:order val="6"/>
          <c:tx>
            <c:v>Q98 Lo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Magnesium!$U$6:$V$6</c:f>
              <c:numCache>
                <c:formatCode>0.000</c:formatCode>
                <c:ptCount val="2"/>
                <c:pt idx="0">
                  <c:v>23.021542035867611</c:v>
                </c:pt>
                <c:pt idx="1">
                  <c:v>23.021542035867611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FE-4F0D-B786-58195A3B5806}"/>
            </c:ext>
          </c:extLst>
        </c:ser>
        <c:ser>
          <c:idx val="7"/>
          <c:order val="7"/>
          <c:tx>
            <c:v>Q95u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Magnesium!$U$7:$V$7</c:f>
              <c:numCache>
                <c:formatCode>0.000</c:formatCode>
                <c:ptCount val="2"/>
                <c:pt idx="0">
                  <c:v>9.255158332772158</c:v>
                </c:pt>
                <c:pt idx="1">
                  <c:v>9.255158332772158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FE-4F0D-B786-58195A3B5806}"/>
            </c:ext>
          </c:extLst>
        </c:ser>
        <c:ser>
          <c:idx val="8"/>
          <c:order val="8"/>
          <c:tx>
            <c:v>Q95u Lo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xVal>
            <c:numRef>
              <c:f>Magnesium!$U$8:$V$8</c:f>
              <c:numCache>
                <c:formatCode>0.000</c:formatCode>
                <c:ptCount val="2"/>
                <c:pt idx="0">
                  <c:v>2.3571579915951073</c:v>
                </c:pt>
                <c:pt idx="1">
                  <c:v>2.3571579915951073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0FE-4F0D-B786-58195A3B5806}"/>
            </c:ext>
          </c:extLst>
        </c:ser>
        <c:ser>
          <c:idx val="9"/>
          <c:order val="9"/>
          <c:tx>
            <c:v>Median</c:v>
          </c:tx>
          <c:spPr>
            <a:ln w="12700">
              <a:solidFill>
                <a:srgbClr val="969696"/>
              </a:solidFill>
              <a:prstDash val="lgDashDotDot"/>
            </a:ln>
          </c:spPr>
          <c:marker>
            <c:symbol val="none"/>
          </c:marker>
          <c:xVal>
            <c:numRef>
              <c:f>Magnesium!$U$11:$V$11</c:f>
              <c:numCache>
                <c:formatCode>0.000</c:formatCode>
                <c:ptCount val="2"/>
                <c:pt idx="0">
                  <c:v>14.850000000000001</c:v>
                </c:pt>
                <c:pt idx="1">
                  <c:v>14.850000000000001</c:v>
                </c:pt>
              </c:numCache>
            </c:numRef>
          </c:xVal>
          <c:yVal>
            <c:numRef>
              <c:f>Magnesium!$U$2:$V$2</c:f>
              <c:numCache>
                <c:formatCode>General</c:formatCode>
                <c:ptCount val="2"/>
                <c:pt idx="0">
                  <c:v>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FE-4F0D-B786-58195A3B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96640"/>
        <c:axId val="136498176"/>
      </c:scatterChart>
      <c:valAx>
        <c:axId val="136496640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6498176"/>
        <c:crosses val="autoZero"/>
        <c:crossBetween val="midCat"/>
        <c:majorUnit val="10"/>
        <c:minorUnit val="0.5"/>
      </c:valAx>
      <c:valAx>
        <c:axId val="136498176"/>
        <c:scaling>
          <c:orientation val="minMax"/>
          <c:max val="0.2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36496640"/>
        <c:crosses val="autoZero"/>
        <c:crossBetween val="midCat"/>
        <c:majorUnit val="0.05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23</xdr:row>
      <xdr:rowOff>0</xdr:rowOff>
    </xdr:from>
    <xdr:to>
      <xdr:col>11</xdr:col>
      <xdr:colOff>0</xdr:colOff>
      <xdr:row>42</xdr:row>
      <xdr:rowOff>66675</xdr:rowOff>
    </xdr:to>
    <xdr:graphicFrame macro="">
      <xdr:nvGraphicFramePr>
        <xdr:cNvPr id="14643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14643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332014" cy="165943"/>
    <xdr:sp macro="" textlink="">
      <xdr:nvSpPr>
        <xdr:cNvPr id="146435" name="Text Box 3"/>
        <xdr:cNvSpPr txBox="1">
          <a:spLocks noChangeArrowheads="1"/>
        </xdr:cNvSpPr>
      </xdr:nvSpPr>
      <xdr:spPr bwMode="auto">
        <a:xfrm>
          <a:off x="5032375" y="219075"/>
          <a:ext cx="332014" cy="165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pH [-]</a:t>
          </a:r>
        </a:p>
      </xdr:txBody>
    </xdr:sp>
    <xdr:clientData/>
  </xdr:oneCellAnchor>
  <xdr:oneCellAnchor>
    <xdr:from>
      <xdr:col>10</xdr:col>
      <xdr:colOff>152400</xdr:colOff>
      <xdr:row>40</xdr:row>
      <xdr:rowOff>142875</xdr:rowOff>
    </xdr:from>
    <xdr:ext cx="394723" cy="200119"/>
    <xdr:sp macro="" textlink="">
      <xdr:nvSpPr>
        <xdr:cNvPr id="146436" name="Text Box 4"/>
        <xdr:cNvSpPr txBox="1">
          <a:spLocks noChangeArrowheads="1"/>
        </xdr:cNvSpPr>
      </xdr:nvSpPr>
      <xdr:spPr bwMode="auto">
        <a:xfrm>
          <a:off x="10820400" y="7775575"/>
          <a:ext cx="39472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[-]</a:t>
          </a:r>
        </a:p>
      </xdr:txBody>
    </xdr:sp>
    <xdr:clientData/>
  </xdr:oneCellAnchor>
  <xdr:oneCellAnchor>
    <xdr:from>
      <xdr:col>4</xdr:col>
      <xdr:colOff>47625</xdr:colOff>
      <xdr:row>24</xdr:row>
      <xdr:rowOff>114300</xdr:rowOff>
    </xdr:from>
    <xdr:ext cx="104067" cy="200119"/>
    <xdr:sp macro="" textlink="">
      <xdr:nvSpPr>
        <xdr:cNvPr id="146437" name="Text Box 5"/>
        <xdr:cNvSpPr txBox="1">
          <a:spLocks noChangeArrowheads="1"/>
        </xdr:cNvSpPr>
      </xdr:nvSpPr>
      <xdr:spPr bwMode="auto">
        <a:xfrm>
          <a:off x="4289425" y="46863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146438" name="Text Box 6"/>
        <xdr:cNvSpPr txBox="1">
          <a:spLocks noChangeArrowheads="1"/>
        </xdr:cNvSpPr>
      </xdr:nvSpPr>
      <xdr:spPr bwMode="auto">
        <a:xfrm>
          <a:off x="10010775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796885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79688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SO4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796885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79688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SO4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34213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3421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Cl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634213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63421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Cl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813749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81374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TOC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813749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81374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TOC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582916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582916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540148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54014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856581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85658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Cn lfr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856581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85658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Cn lfr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85637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8563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Cn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685637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68563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Cn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59157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59157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B [mg/L]</a:t>
          </a:r>
        </a:p>
      </xdr:txBody>
    </xdr:sp>
    <xdr:clientData/>
  </xdr:oneCellAnchor>
  <xdr:oneCellAnchor>
    <xdr:from>
      <xdr:col>9</xdr:col>
      <xdr:colOff>942975</xdr:colOff>
      <xdr:row>40</xdr:row>
      <xdr:rowOff>152400</xdr:rowOff>
    </xdr:from>
    <xdr:ext cx="591572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0086975" y="7785100"/>
          <a:ext cx="59157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B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97307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9730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KW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97307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9730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KW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757387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75738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PAK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739775</xdr:colOff>
      <xdr:row>40</xdr:row>
      <xdr:rowOff>177800</xdr:rowOff>
    </xdr:from>
    <xdr:ext cx="757387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83775" y="7810500"/>
          <a:ext cx="75738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PAK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774443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77444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AOX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774443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77444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AOX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14848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14848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1643848" cy="200119"/>
    <xdr:sp macro="" textlink="">
      <xdr:nvSpPr>
        <xdr:cNvPr id="148483" name="Text Box 3"/>
        <xdr:cNvSpPr txBox="1">
          <a:spLocks noChangeArrowheads="1"/>
        </xdr:cNvSpPr>
      </xdr:nvSpPr>
      <xdr:spPr bwMode="auto">
        <a:xfrm>
          <a:off x="4575175" y="219075"/>
          <a:ext cx="164384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eLF [Einheit siehe links]</a:t>
          </a:r>
        </a:p>
      </xdr:txBody>
    </xdr:sp>
    <xdr:clientData/>
  </xdr:oneCellAnchor>
  <xdr:oneCellAnchor>
    <xdr:from>
      <xdr:col>9</xdr:col>
      <xdr:colOff>28575</xdr:colOff>
      <xdr:row>41</xdr:row>
      <xdr:rowOff>25400</xdr:rowOff>
    </xdr:from>
    <xdr:ext cx="1643848" cy="200119"/>
    <xdr:sp macro="" textlink="">
      <xdr:nvSpPr>
        <xdr:cNvPr id="148484" name="Text Box 4"/>
        <xdr:cNvSpPr txBox="1">
          <a:spLocks noChangeArrowheads="1"/>
        </xdr:cNvSpPr>
      </xdr:nvSpPr>
      <xdr:spPr bwMode="auto">
        <a:xfrm>
          <a:off x="9223375" y="7848600"/>
          <a:ext cx="164384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eLF [Einheit siehe links]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148485" name="Text Box 5"/>
        <xdr:cNvSpPr txBox="1">
          <a:spLocks noChangeArrowheads="1"/>
        </xdr:cNvSpPr>
      </xdr:nvSpPr>
      <xdr:spPr bwMode="auto">
        <a:xfrm>
          <a:off x="5054600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148486" name="Text Box 6"/>
        <xdr:cNvSpPr txBox="1">
          <a:spLocks noChangeArrowheads="1"/>
        </xdr:cNvSpPr>
      </xdr:nvSpPr>
      <xdr:spPr bwMode="auto">
        <a:xfrm>
          <a:off x="10010775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29018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2901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As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29018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2901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As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37675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376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Pb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37675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376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Pb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46139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4613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Cd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46139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4613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Cd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11771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1177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Cr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11771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1177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Cr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46139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4613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Cu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46139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4613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Cu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63195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6319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Mb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63195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6319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Mb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594715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59471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Ni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594715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59471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Ni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46139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4613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Hg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46139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4613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Hg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29018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2901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Zn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9</xdr:col>
      <xdr:colOff>815975</xdr:colOff>
      <xdr:row>40</xdr:row>
      <xdr:rowOff>152400</xdr:rowOff>
    </xdr:from>
    <xdr:ext cx="629018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959975" y="7785100"/>
          <a:ext cx="629018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Zn [</a:t>
          </a:r>
          <a:r>
            <a:rPr lang="el-GR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μ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239668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239668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8</xdr:col>
      <xdr:colOff>53975</xdr:colOff>
      <xdr:row>41</xdr:row>
      <xdr:rowOff>12700</xdr:rowOff>
    </xdr:from>
    <xdr:ext cx="2311146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410575" y="7835900"/>
          <a:ext cx="2311146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85637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032375" y="219075"/>
          <a:ext cx="68563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Na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685637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32975" y="7785100"/>
          <a:ext cx="68563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Na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041900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10010775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239668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14850" y="219075"/>
          <a:ext cx="239668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8</xdr:col>
      <xdr:colOff>53975</xdr:colOff>
      <xdr:row>41</xdr:row>
      <xdr:rowOff>12700</xdr:rowOff>
    </xdr:from>
    <xdr:ext cx="2311146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388350" y="7832725"/>
          <a:ext cx="2311146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239668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14850" y="219075"/>
          <a:ext cx="239668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8</xdr:col>
      <xdr:colOff>53975</xdr:colOff>
      <xdr:row>41</xdr:row>
      <xdr:rowOff>12700</xdr:rowOff>
    </xdr:from>
    <xdr:ext cx="2311146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388350" y="7832725"/>
          <a:ext cx="2311146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239668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14850" y="219075"/>
          <a:ext cx="239668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8</xdr:col>
      <xdr:colOff>53975</xdr:colOff>
      <xdr:row>41</xdr:row>
      <xdr:rowOff>12700</xdr:rowOff>
    </xdr:from>
    <xdr:ext cx="2311146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388350" y="7832725"/>
          <a:ext cx="2311146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239668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14850" y="219075"/>
          <a:ext cx="239668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8</xdr:col>
      <xdr:colOff>53975</xdr:colOff>
      <xdr:row>41</xdr:row>
      <xdr:rowOff>12700</xdr:rowOff>
    </xdr:from>
    <xdr:ext cx="2311146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388350" y="7832725"/>
          <a:ext cx="2311146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Parameter und Einheit siehe links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34</xdr:row>
      <xdr:rowOff>76200</xdr:rowOff>
    </xdr:from>
    <xdr:to>
      <xdr:col>9</xdr:col>
      <xdr:colOff>406400</xdr:colOff>
      <xdr:row>49</xdr:row>
      <xdr:rowOff>95250</xdr:rowOff>
    </xdr:to>
    <xdr:graphicFrame macro="">
      <xdr:nvGraphicFramePr>
        <xdr:cNvPr id="13824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25400</xdr:colOff>
      <xdr:row>1</xdr:row>
      <xdr:rowOff>63500</xdr:rowOff>
    </xdr:from>
    <xdr:to>
      <xdr:col>14</xdr:col>
      <xdr:colOff>1282700</xdr:colOff>
      <xdr:row>32</xdr:row>
      <xdr:rowOff>76200</xdr:rowOff>
    </xdr:to>
    <xdr:graphicFrame macro="">
      <xdr:nvGraphicFramePr>
        <xdr:cNvPr id="13824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558800</xdr:colOff>
      <xdr:row>1</xdr:row>
      <xdr:rowOff>79375</xdr:rowOff>
    </xdr:from>
    <xdr:ext cx="1590675" cy="352425"/>
    <xdr:sp macro="" textlink="">
      <xdr:nvSpPr>
        <xdr:cNvPr id="138243" name="Text Box 3"/>
        <xdr:cNvSpPr txBox="1">
          <a:spLocks noChangeArrowheads="1"/>
        </xdr:cNvSpPr>
      </xdr:nvSpPr>
      <xdr:spPr bwMode="auto">
        <a:xfrm>
          <a:off x="4902200" y="269875"/>
          <a:ext cx="1590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[Parameter und Einheit</a:t>
          </a:r>
        </a:p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siehe Arbeitsblatttitel]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34</xdr:row>
      <xdr:rowOff>76200</xdr:rowOff>
    </xdr:from>
    <xdr:to>
      <xdr:col>9</xdr:col>
      <xdr:colOff>406400</xdr:colOff>
      <xdr:row>49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25400</xdr:colOff>
      <xdr:row>1</xdr:row>
      <xdr:rowOff>63500</xdr:rowOff>
    </xdr:from>
    <xdr:to>
      <xdr:col>14</xdr:col>
      <xdr:colOff>1282700</xdr:colOff>
      <xdr:row>32</xdr:row>
      <xdr:rowOff>76200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558800</xdr:colOff>
      <xdr:row>1</xdr:row>
      <xdr:rowOff>79375</xdr:rowOff>
    </xdr:from>
    <xdr:ext cx="1590675" cy="352425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026025" y="269875"/>
          <a:ext cx="1590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[Parameter und Einheit</a:t>
          </a:r>
        </a:p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siehe Arbeitsblatttitel]</a:t>
          </a: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34</xdr:row>
      <xdr:rowOff>76200</xdr:rowOff>
    </xdr:from>
    <xdr:to>
      <xdr:col>9</xdr:col>
      <xdr:colOff>406400</xdr:colOff>
      <xdr:row>49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25400</xdr:colOff>
      <xdr:row>1</xdr:row>
      <xdr:rowOff>63500</xdr:rowOff>
    </xdr:from>
    <xdr:to>
      <xdr:col>14</xdr:col>
      <xdr:colOff>1282700</xdr:colOff>
      <xdr:row>32</xdr:row>
      <xdr:rowOff>76200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558800</xdr:colOff>
      <xdr:row>1</xdr:row>
      <xdr:rowOff>79375</xdr:rowOff>
    </xdr:from>
    <xdr:ext cx="1590675" cy="352425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026025" y="269875"/>
          <a:ext cx="1590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[Parameter und Einheit</a:t>
          </a:r>
        </a:p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siehe Arbeitsblatttitel]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34</xdr:row>
      <xdr:rowOff>76200</xdr:rowOff>
    </xdr:from>
    <xdr:to>
      <xdr:col>9</xdr:col>
      <xdr:colOff>406400</xdr:colOff>
      <xdr:row>49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25400</xdr:colOff>
      <xdr:row>1</xdr:row>
      <xdr:rowOff>63500</xdr:rowOff>
    </xdr:from>
    <xdr:to>
      <xdr:col>14</xdr:col>
      <xdr:colOff>1282700</xdr:colOff>
      <xdr:row>32</xdr:row>
      <xdr:rowOff>76200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558800</xdr:colOff>
      <xdr:row>1</xdr:row>
      <xdr:rowOff>79375</xdr:rowOff>
    </xdr:from>
    <xdr:ext cx="1590675" cy="352425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026025" y="269875"/>
          <a:ext cx="1590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[Parameter und Einheit</a:t>
          </a:r>
        </a:p>
        <a:p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siehe Arbeitsblatttitel]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591572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59157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591572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591572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041900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10010775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702693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70269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Mg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702693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702693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Mg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685637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68563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Ca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685637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68563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Ca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848181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84818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Nges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848181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84818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Nges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967701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96770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NO3-N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967701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967701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NO3-N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10</xdr:col>
      <xdr:colOff>914400</xdr:colOff>
      <xdr:row>42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</xdr:colOff>
      <xdr:row>1</xdr:row>
      <xdr:rowOff>0</xdr:rowOff>
    </xdr:from>
    <xdr:to>
      <xdr:col>10</xdr:col>
      <xdr:colOff>914400</xdr:colOff>
      <xdr:row>21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oneCellAnchor>
    <xdr:from>
      <xdr:col>4</xdr:col>
      <xdr:colOff>295275</xdr:colOff>
      <xdr:row>1</xdr:row>
      <xdr:rowOff>28575</xdr:rowOff>
    </xdr:from>
    <xdr:ext cx="959109" cy="200119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24375" y="219075"/>
          <a:ext cx="95910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NH4-N [mg/L]</a:t>
          </a:r>
        </a:p>
      </xdr:txBody>
    </xdr:sp>
    <xdr:clientData/>
  </xdr:oneCellAnchor>
  <xdr:oneCellAnchor>
    <xdr:from>
      <xdr:col>9</xdr:col>
      <xdr:colOff>676275</xdr:colOff>
      <xdr:row>40</xdr:row>
      <xdr:rowOff>152400</xdr:rowOff>
    </xdr:from>
    <xdr:ext cx="959109" cy="200119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820275" y="7785100"/>
          <a:ext cx="959109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NH4-N [mg/L]</a:t>
          </a:r>
        </a:p>
      </xdr:txBody>
    </xdr:sp>
    <xdr:clientData/>
  </xdr:oneCellAnchor>
  <xdr:oneCellAnchor>
    <xdr:from>
      <xdr:col>4</xdr:col>
      <xdr:colOff>317500</xdr:colOff>
      <xdr:row>24</xdr:row>
      <xdr:rowOff>76200</xdr:rowOff>
    </xdr:from>
    <xdr:ext cx="104067" cy="200119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37075" y="4648200"/>
          <a:ext cx="104067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</a:t>
          </a:r>
        </a:p>
      </xdr:txBody>
    </xdr:sp>
    <xdr:clientData/>
  </xdr:oneCellAnchor>
  <xdr:twoCellAnchor>
    <xdr:from>
      <xdr:col>9</xdr:col>
      <xdr:colOff>390525</xdr:colOff>
      <xdr:row>23</xdr:row>
      <xdr:rowOff>66675</xdr:rowOff>
    </xdr:from>
    <xdr:to>
      <xdr:col>10</xdr:col>
      <xdr:colOff>838200</xdr:colOff>
      <xdr:row>26</xdr:row>
      <xdr:rowOff>161925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9505950" y="4448175"/>
          <a:ext cx="14573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Normalverteilung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FF00FF"/>
              </a:solidFill>
              <a:latin typeface="Arial"/>
              <a:cs typeface="Arial"/>
            </a:rPr>
            <a:t>LogNormalverteilung</a:t>
          </a:r>
          <a:endParaRPr lang="de-DE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808080"/>
              </a:solidFill>
              <a:latin typeface="Arial"/>
              <a:cs typeface="Arial"/>
            </a:rPr>
            <a:t>Original-Histogramm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47" sqref="M4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28515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5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12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1" t="s">
        <v>116</v>
      </c>
      <c r="B1" s="142"/>
      <c r="C1" s="142"/>
      <c r="E1" s="144" t="s">
        <v>16</v>
      </c>
      <c r="F1" s="144"/>
      <c r="G1" s="144"/>
      <c r="M1" s="94" t="s">
        <v>117</v>
      </c>
      <c r="T1" s="83" t="s">
        <v>30</v>
      </c>
      <c r="U1" s="2"/>
      <c r="V1" s="2"/>
    </row>
    <row r="2" spans="1:24" ht="15" customHeight="1" x14ac:dyDescent="0.2">
      <c r="A2" s="143"/>
      <c r="B2" s="142"/>
      <c r="C2" s="142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47" t="s">
        <v>148</v>
      </c>
      <c r="C3" s="148"/>
      <c r="M3" s="56"/>
      <c r="N3" s="57"/>
      <c r="O3" s="58" t="b">
        <f t="shared" ref="O3:O66" si="0">IF($N3&gt;0,LN($N3+$B$26))</f>
        <v>0</v>
      </c>
      <c r="T3" s="69" t="s">
        <v>109</v>
      </c>
      <c r="U3" s="82" t="e">
        <f>$B$21</f>
        <v>#DIV/0!</v>
      </c>
      <c r="V3" s="82" t="e">
        <f t="shared" ref="V3:V10" si="1">U3</f>
        <v>#DIV/0!</v>
      </c>
    </row>
    <row r="4" spans="1:24" ht="15" customHeight="1" x14ac:dyDescent="0.2">
      <c r="A4" s="98" t="s">
        <v>33</v>
      </c>
      <c r="B4" s="145" t="s">
        <v>147</v>
      </c>
      <c r="C4" s="146"/>
      <c r="M4" s="56"/>
      <c r="N4" s="57"/>
      <c r="O4" s="58" t="b">
        <f t="shared" si="0"/>
        <v>0</v>
      </c>
      <c r="T4" s="69" t="s">
        <v>111</v>
      </c>
      <c r="U4" s="82" t="e">
        <f>$B$31</f>
        <v>#DIV/0!</v>
      </c>
      <c r="V4" s="82" t="e">
        <f t="shared" si="1"/>
        <v>#DIV/0!</v>
      </c>
    </row>
    <row r="5" spans="1:24" ht="15" customHeight="1" x14ac:dyDescent="0.2">
      <c r="A5" s="99" t="s">
        <v>70</v>
      </c>
      <c r="B5" s="95" t="s">
        <v>93</v>
      </c>
      <c r="C5" s="18"/>
      <c r="D5" s="4"/>
      <c r="M5" s="56"/>
      <c r="N5" s="57"/>
      <c r="O5" s="58" t="b">
        <f t="shared" si="0"/>
        <v>0</v>
      </c>
      <c r="T5" s="69" t="s">
        <v>110</v>
      </c>
      <c r="U5" s="82" t="e">
        <f>$B$22</f>
        <v>#DIV/0!</v>
      </c>
      <c r="V5" s="82" t="e">
        <f t="shared" si="1"/>
        <v>#DIV/0!</v>
      </c>
    </row>
    <row r="6" spans="1:24" ht="15" customHeight="1" x14ac:dyDescent="0.2">
      <c r="A6" s="100" t="s">
        <v>18</v>
      </c>
      <c r="B6" s="95" t="s">
        <v>93</v>
      </c>
      <c r="C6" s="18"/>
      <c r="M6" s="56"/>
      <c r="N6" s="57"/>
      <c r="O6" s="58" t="b">
        <f t="shared" si="0"/>
        <v>0</v>
      </c>
      <c r="T6" s="69" t="s">
        <v>29</v>
      </c>
      <c r="U6" s="82" t="e">
        <f>$B$32</f>
        <v>#DIV/0!</v>
      </c>
      <c r="V6" s="82" t="e">
        <f t="shared" si="1"/>
        <v>#DIV/0!</v>
      </c>
    </row>
    <row r="7" spans="1:24" ht="15" customHeight="1" x14ac:dyDescent="0.2">
      <c r="D7" s="4"/>
      <c r="F7" s="5"/>
      <c r="M7" s="56"/>
      <c r="N7" s="57"/>
      <c r="O7" s="58" t="b">
        <f t="shared" si="0"/>
        <v>0</v>
      </c>
      <c r="T7" s="69" t="s">
        <v>31</v>
      </c>
      <c r="U7" s="82" t="e">
        <f>$C$21</f>
        <v>#DIV/0!</v>
      </c>
      <c r="V7" s="82" t="e">
        <f t="shared" si="1"/>
        <v>#DIV/0!</v>
      </c>
    </row>
    <row r="8" spans="1:24" ht="15" customHeight="1" x14ac:dyDescent="0.25">
      <c r="A8" s="140" t="s">
        <v>12</v>
      </c>
      <c r="B8" s="140"/>
      <c r="C8" s="140"/>
      <c r="D8" s="4"/>
      <c r="M8" s="56"/>
      <c r="N8" s="57"/>
      <c r="O8" s="58" t="b">
        <f t="shared" si="0"/>
        <v>0</v>
      </c>
      <c r="T8" s="69" t="s">
        <v>32</v>
      </c>
      <c r="U8" s="82" t="e">
        <f>$C$31</f>
        <v>#DIV/0!</v>
      </c>
      <c r="V8" s="82" t="e">
        <f t="shared" si="1"/>
        <v>#DIV/0!</v>
      </c>
    </row>
    <row r="9" spans="1:24" ht="15" customHeight="1" x14ac:dyDescent="0.2">
      <c r="A9" s="101" t="s">
        <v>11</v>
      </c>
      <c r="B9" s="59">
        <f>COUNT($M$3:$M252)</f>
        <v>0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 t="e">
        <f>$C$22</f>
        <v>#DIV/0!</v>
      </c>
      <c r="V9" s="82" t="e">
        <f t="shared" si="1"/>
        <v>#DIV/0!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 t="e">
        <f>$C$32</f>
        <v>#DIV/0!</v>
      </c>
      <c r="V10" s="82" t="e">
        <f t="shared" si="1"/>
        <v>#DIV/0!</v>
      </c>
    </row>
    <row r="11" spans="1:24" ht="15" customHeight="1" x14ac:dyDescent="0.2">
      <c r="A11" s="102" t="s">
        <v>8</v>
      </c>
      <c r="B11" s="61">
        <f>MAX($N$3:$N$252)</f>
        <v>0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 t="e">
        <f>$B$12</f>
        <v>#NUM!</v>
      </c>
      <c r="V11" s="82" t="e">
        <f>U11</f>
        <v>#NUM!</v>
      </c>
    </row>
    <row r="12" spans="1:24" ht="15" customHeight="1" x14ac:dyDescent="0.2">
      <c r="A12" s="102" t="s">
        <v>68</v>
      </c>
      <c r="B12" s="62" t="e">
        <f>MEDIAN($N$3:$N$252)</f>
        <v>#NUM!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e">
        <f>IF(ABS($G$118)&gt;$J$120,"&gt; 99%",IF(ABS($G$118)&gt;$I$120,"&gt; 95%","nicht signifikant"))</f>
        <v>#DIV/0!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0</v>
      </c>
      <c r="V14" s="78"/>
      <c r="W14" s="79">
        <v>0</v>
      </c>
      <c r="X14" s="80" t="e">
        <f t="shared" ref="X14:X40" si="2">V14/$B$38/$B$9</f>
        <v>#DIV/0!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0</v>
      </c>
      <c r="V15" s="84">
        <f>FREQUENCY($N$3:$N$252,$U$15:$U$39)</f>
        <v>0</v>
      </c>
      <c r="W15" s="79">
        <f t="shared" ref="W15:W39" si="4">(U15+U14)/2</f>
        <v>0</v>
      </c>
      <c r="X15" s="80" t="e">
        <f t="shared" si="2"/>
        <v>#DIV/0!</v>
      </c>
    </row>
    <row r="16" spans="1:24" ht="15" customHeight="1" x14ac:dyDescent="0.2">
      <c r="A16" s="101" t="s">
        <v>73</v>
      </c>
      <c r="B16" s="63" t="e">
        <f>AVERAGE($N$3:$N$252)</f>
        <v>#DIV/0!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0</v>
      </c>
      <c r="V16" s="84">
        <f t="array" ref="V16:V40">FREQUENCY($N$3:$N$252,$U$15:$U$39)</f>
        <v>0</v>
      </c>
      <c r="W16" s="79">
        <f t="shared" si="4"/>
        <v>0</v>
      </c>
      <c r="X16" s="80" t="e">
        <f t="shared" si="2"/>
        <v>#DIV/0!</v>
      </c>
    </row>
    <row r="17" spans="1:24" ht="15" customHeight="1" x14ac:dyDescent="0.2">
      <c r="A17" s="102" t="s">
        <v>75</v>
      </c>
      <c r="B17" s="62" t="e">
        <f>STDEV($N$3:$N$252)</f>
        <v>#DIV/0!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0</v>
      </c>
      <c r="V17" s="84">
        <v>0</v>
      </c>
      <c r="W17" s="79">
        <f t="shared" si="4"/>
        <v>0</v>
      </c>
      <c r="X17" s="80" t="e">
        <f t="shared" si="2"/>
        <v>#DIV/0!</v>
      </c>
    </row>
    <row r="18" spans="1:24" ht="15" customHeight="1" x14ac:dyDescent="0.2">
      <c r="A18" s="102" t="s">
        <v>92</v>
      </c>
      <c r="B18" s="24" t="e">
        <f>((NORMINV(0.83,B16,B17)-B12)-(B12-NORMINV(0.17,B16,B17)))/(NORMINV(0.83,B16,B17)-NORMINV(0.17,B16,B17))</f>
        <v>#DIV/0!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0</v>
      </c>
      <c r="V18" s="84">
        <v>0</v>
      </c>
      <c r="W18" s="79">
        <f t="shared" si="4"/>
        <v>0</v>
      </c>
      <c r="X18" s="80" t="e">
        <f t="shared" si="2"/>
        <v>#DIV/0!</v>
      </c>
    </row>
    <row r="19" spans="1:24" ht="15" customHeight="1" x14ac:dyDescent="0.25">
      <c r="A19" s="102" t="s">
        <v>25</v>
      </c>
      <c r="B19" s="20" t="e">
        <f>IF(ABS(($B$16-$B$12)/$B$16)&lt;=0.1,"gut",IF(ABS(($B$16-$B$12)/$B$16)&lt;=0.2,"mäßig","schlecht"))</f>
        <v>#DIV/0!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</v>
      </c>
      <c r="V19" s="84">
        <v>0</v>
      </c>
      <c r="W19" s="79">
        <f t="shared" si="4"/>
        <v>0</v>
      </c>
      <c r="X19" s="80" t="e">
        <f t="shared" si="2"/>
        <v>#DIV/0!</v>
      </c>
    </row>
    <row r="20" spans="1:24" ht="15" customHeight="1" x14ac:dyDescent="0.2">
      <c r="A20" s="102" t="s">
        <v>44</v>
      </c>
      <c r="B20" s="20" t="e">
        <f>IF(((B11-B10)/B17)&gt;INDEX(XX!$B$4:'XX'!$B$150,$B$9-3),"ja","nein")</f>
        <v>#DIV/0!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</v>
      </c>
      <c r="V20" s="84">
        <v>0</v>
      </c>
      <c r="W20" s="79">
        <f t="shared" si="4"/>
        <v>0</v>
      </c>
      <c r="X20" s="80" t="e">
        <f t="shared" si="2"/>
        <v>#DIV/0!</v>
      </c>
    </row>
    <row r="21" spans="1:24" ht="15" customHeight="1" x14ac:dyDescent="0.2">
      <c r="A21" s="103" t="s">
        <v>76</v>
      </c>
      <c r="B21" s="62" t="e">
        <f>NORMINV(0.975,$B$16,$B$17)</f>
        <v>#DIV/0!</v>
      </c>
      <c r="C21" s="62" t="e">
        <f>NORMINV(0.025,$B$16,$B$17)</f>
        <v>#DIV/0!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</v>
      </c>
      <c r="V21" s="84">
        <v>0</v>
      </c>
      <c r="W21" s="79">
        <f t="shared" si="4"/>
        <v>0</v>
      </c>
      <c r="X21" s="80" t="e">
        <f t="shared" si="2"/>
        <v>#DIV/0!</v>
      </c>
    </row>
    <row r="22" spans="1:24" ht="15" customHeight="1" x14ac:dyDescent="0.2">
      <c r="A22" s="104" t="s">
        <v>77</v>
      </c>
      <c r="B22" s="62" t="e">
        <f>NORMINV(0.99,$B$16,$B$17)</f>
        <v>#DIV/0!</v>
      </c>
      <c r="C22" s="62" t="e">
        <f>NORMINV(0.01,$B$16,$B$17)</f>
        <v>#DIV/0!</v>
      </c>
      <c r="M22" s="56"/>
      <c r="N22" s="57"/>
      <c r="O22" s="58" t="b">
        <f t="shared" si="0"/>
        <v>0</v>
      </c>
      <c r="T22" s="69">
        <v>8</v>
      </c>
      <c r="U22" s="77">
        <f t="shared" si="3"/>
        <v>0</v>
      </c>
      <c r="V22" s="84">
        <v>0</v>
      </c>
      <c r="W22" s="79">
        <f t="shared" si="4"/>
        <v>0</v>
      </c>
      <c r="X22" s="80" t="e">
        <f t="shared" si="2"/>
        <v>#DIV/0!</v>
      </c>
    </row>
    <row r="23" spans="1:24" ht="15" customHeight="1" x14ac:dyDescent="0.25"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</v>
      </c>
      <c r="V23" s="84">
        <v>0</v>
      </c>
      <c r="W23" s="79">
        <f t="shared" si="4"/>
        <v>0</v>
      </c>
      <c r="X23" s="80" t="e">
        <f t="shared" si="2"/>
        <v>#DIV/0!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</v>
      </c>
      <c r="V24" s="84">
        <v>0</v>
      </c>
      <c r="W24" s="79">
        <f t="shared" si="4"/>
        <v>0</v>
      </c>
      <c r="X24" s="80" t="e">
        <f t="shared" si="2"/>
        <v>#DIV/0!</v>
      </c>
    </row>
    <row r="25" spans="1:24" ht="15" customHeight="1" x14ac:dyDescent="0.25">
      <c r="A25" s="140" t="s">
        <v>74</v>
      </c>
      <c r="B25" s="140"/>
      <c r="C25" s="140"/>
      <c r="F25" s="7"/>
      <c r="M25" s="56"/>
      <c r="N25" s="57"/>
      <c r="O25" s="58" t="b">
        <f t="shared" si="0"/>
        <v>0</v>
      </c>
      <c r="Q25" s="75" t="s">
        <v>68</v>
      </c>
      <c r="R25" s="75" t="e">
        <f>MEDIAN($O$3:$O$252)</f>
        <v>#NUM!</v>
      </c>
      <c r="T25" s="69">
        <v>11</v>
      </c>
      <c r="U25" s="77">
        <f t="shared" si="3"/>
        <v>0</v>
      </c>
      <c r="V25" s="84">
        <v>0</v>
      </c>
      <c r="W25" s="79">
        <f t="shared" si="4"/>
        <v>0</v>
      </c>
      <c r="X25" s="80" t="e">
        <f t="shared" si="2"/>
        <v>#DIV/0!</v>
      </c>
    </row>
    <row r="26" spans="1:24" ht="15" customHeight="1" x14ac:dyDescent="0.2">
      <c r="A26" s="86" t="s">
        <v>36</v>
      </c>
      <c r="B26" s="132">
        <v>0</v>
      </c>
      <c r="C26" s="62"/>
      <c r="E26" s="7"/>
      <c r="M26" s="56"/>
      <c r="N26" s="57"/>
      <c r="O26" s="58" t="b">
        <f t="shared" si="0"/>
        <v>0</v>
      </c>
      <c r="Q26" s="75" t="s">
        <v>73</v>
      </c>
      <c r="R26" s="75" t="e">
        <f>AVERAGE($O$3:$O$252)</f>
        <v>#DIV/0!</v>
      </c>
      <c r="T26" s="69">
        <v>12</v>
      </c>
      <c r="U26" s="77">
        <f t="shared" si="3"/>
        <v>0</v>
      </c>
      <c r="V26" s="84">
        <v>0</v>
      </c>
      <c r="W26" s="79">
        <f t="shared" si="4"/>
        <v>0</v>
      </c>
      <c r="X26" s="80" t="e">
        <f t="shared" si="2"/>
        <v>#DIV/0!</v>
      </c>
    </row>
    <row r="27" spans="1:24" ht="15" customHeight="1" x14ac:dyDescent="0.2">
      <c r="A27" s="65" t="s">
        <v>17</v>
      </c>
      <c r="B27" s="62" t="e">
        <f>EXP($R$26)</f>
        <v>#DIV/0!</v>
      </c>
      <c r="C27" s="62"/>
      <c r="E27" s="7"/>
      <c r="F27" s="7"/>
      <c r="M27" s="56"/>
      <c r="N27" s="57"/>
      <c r="O27" s="58" t="b">
        <f t="shared" si="0"/>
        <v>0</v>
      </c>
      <c r="Q27" s="75" t="s">
        <v>104</v>
      </c>
      <c r="R27" s="75" t="e">
        <f>STDEV($O$3:$O$252)</f>
        <v>#DIV/0!</v>
      </c>
      <c r="T27" s="69">
        <v>13</v>
      </c>
      <c r="U27" s="77">
        <f t="shared" si="3"/>
        <v>0</v>
      </c>
      <c r="V27" s="84">
        <v>0</v>
      </c>
      <c r="W27" s="79">
        <f t="shared" si="4"/>
        <v>0</v>
      </c>
      <c r="X27" s="80" t="e">
        <f t="shared" si="2"/>
        <v>#DIV/0!</v>
      </c>
    </row>
    <row r="28" spans="1:24" ht="15" customHeight="1" x14ac:dyDescent="0.2">
      <c r="A28" s="65" t="s">
        <v>92</v>
      </c>
      <c r="B28" s="24" t="e">
        <f>((NORMINV(0.83,$R$26,$R$27)-$R25)-($R$25-NORMINV(0.17,$R$26,$R$27)))/(NORMINV(0.83,$R$26,$R$27)-NORMINV(0.17,$R$26,$R$27))</f>
        <v>#DIV/0!</v>
      </c>
      <c r="C28" s="115" t="s">
        <v>45</v>
      </c>
      <c r="F28" s="7"/>
      <c r="M28" s="56"/>
      <c r="N28" s="57"/>
      <c r="O28" s="58" t="b">
        <f t="shared" si="0"/>
        <v>0</v>
      </c>
      <c r="Q28" s="75" t="s">
        <v>108</v>
      </c>
      <c r="R28" s="75" t="e">
        <f>NORMINV(0.025,$R$26,$R$27)</f>
        <v>#DIV/0!</v>
      </c>
      <c r="T28" s="69">
        <v>14</v>
      </c>
      <c r="U28" s="77">
        <f t="shared" si="3"/>
        <v>0</v>
      </c>
      <c r="V28" s="84">
        <v>0</v>
      </c>
      <c r="W28" s="79">
        <f t="shared" si="4"/>
        <v>0</v>
      </c>
      <c r="X28" s="80" t="e">
        <f t="shared" si="2"/>
        <v>#DIV/0!</v>
      </c>
    </row>
    <row r="29" spans="1:24" ht="15" customHeight="1" x14ac:dyDescent="0.2">
      <c r="A29" s="65" t="s">
        <v>25</v>
      </c>
      <c r="B29" s="62" t="e">
        <f>IF(ABS(($R$26-$R$25)/$R$26)&lt;=0.1,"gut",IF(ABS(($R$26-$R$25)/$R$26)&lt;=0.2,"mäßig","schlecht"))</f>
        <v>#DIV/0!</v>
      </c>
      <c r="C29" s="62"/>
      <c r="M29" s="56"/>
      <c r="N29" s="57"/>
      <c r="O29" s="58" t="b">
        <f t="shared" si="0"/>
        <v>0</v>
      </c>
      <c r="Q29" s="75" t="s">
        <v>107</v>
      </c>
      <c r="R29" s="75" t="e">
        <f>NORMINV(0.01,$R$26,$R$27)</f>
        <v>#DIV/0!</v>
      </c>
      <c r="T29" s="69">
        <v>15</v>
      </c>
      <c r="U29" s="77">
        <f t="shared" si="3"/>
        <v>0</v>
      </c>
      <c r="V29" s="84">
        <v>0</v>
      </c>
      <c r="W29" s="79">
        <f t="shared" si="4"/>
        <v>0</v>
      </c>
      <c r="X29" s="80" t="e">
        <f t="shared" si="2"/>
        <v>#DIV/0!</v>
      </c>
    </row>
    <row r="30" spans="1:24" ht="15" customHeight="1" x14ac:dyDescent="0.2">
      <c r="A30" s="65" t="s">
        <v>44</v>
      </c>
      <c r="B30" s="62" t="e">
        <f>IF(((MAX($O$3:$O$252)-MIN($O$3:$O$252))/$R$27)&gt;INDEX(XX!$B$4:$B$150,$B$9-3),"ja","nein")</f>
        <v>#DIV/0!</v>
      </c>
      <c r="C30" s="62"/>
      <c r="E30" s="7"/>
      <c r="M30" s="56"/>
      <c r="N30" s="57"/>
      <c r="O30" s="58" t="b">
        <f t="shared" si="0"/>
        <v>0</v>
      </c>
      <c r="Q30" s="75" t="s">
        <v>105</v>
      </c>
      <c r="R30" s="75" t="e">
        <f>NORMINV(0.95,$R$26,$R$27)</f>
        <v>#DIV/0!</v>
      </c>
      <c r="T30" s="69">
        <v>16</v>
      </c>
      <c r="U30" s="77">
        <f t="shared" si="3"/>
        <v>0</v>
      </c>
      <c r="V30" s="84">
        <v>0</v>
      </c>
      <c r="W30" s="79">
        <f t="shared" si="4"/>
        <v>0</v>
      </c>
      <c r="X30" s="80" t="e">
        <f t="shared" si="2"/>
        <v>#DIV/0!</v>
      </c>
    </row>
    <row r="31" spans="1:24" ht="15" customHeight="1" x14ac:dyDescent="0.2">
      <c r="A31" s="65" t="s">
        <v>98</v>
      </c>
      <c r="B31" s="62" t="e">
        <f>EXP($R$30)-$B$26</f>
        <v>#DIV/0!</v>
      </c>
      <c r="C31" s="62" t="e">
        <f>NORMINV(0.025,$R$26,$R$27)</f>
        <v>#DIV/0!</v>
      </c>
      <c r="E31" s="7"/>
      <c r="M31" s="56"/>
      <c r="N31" s="57"/>
      <c r="O31" s="58" t="b">
        <f t="shared" si="0"/>
        <v>0</v>
      </c>
      <c r="Q31" s="75" t="s">
        <v>106</v>
      </c>
      <c r="R31" s="75" t="e">
        <f>NORMINV(0.98,$R$26,$R$27)</f>
        <v>#DIV/0!</v>
      </c>
      <c r="T31" s="69">
        <v>17</v>
      </c>
      <c r="U31" s="77">
        <f t="shared" si="3"/>
        <v>0</v>
      </c>
      <c r="V31" s="84">
        <v>0</v>
      </c>
      <c r="W31" s="79">
        <f t="shared" si="4"/>
        <v>0</v>
      </c>
      <c r="X31" s="80" t="e">
        <f t="shared" si="2"/>
        <v>#DIV/0!</v>
      </c>
    </row>
    <row r="32" spans="1:24" ht="15" customHeight="1" x14ac:dyDescent="0.2">
      <c r="A32" s="65" t="s">
        <v>86</v>
      </c>
      <c r="B32" s="62" t="e">
        <f>EXP($R$31)-$B$26</f>
        <v>#DIV/0!</v>
      </c>
      <c r="C32" s="62" t="e">
        <f>NORMINV(0.01,$R$26,$R$27)</f>
        <v>#DIV/0!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</v>
      </c>
      <c r="V32" s="84">
        <v>0</v>
      </c>
      <c r="W32" s="79">
        <f t="shared" si="4"/>
        <v>0</v>
      </c>
      <c r="X32" s="80" t="e">
        <f t="shared" si="2"/>
        <v>#DIV/0!</v>
      </c>
    </row>
    <row r="33" spans="1:24" ht="15" customHeight="1" x14ac:dyDescent="0.2">
      <c r="M33" s="56"/>
      <c r="N33" s="57"/>
      <c r="O33" s="58" t="b">
        <f t="shared" si="0"/>
        <v>0</v>
      </c>
      <c r="T33" s="69">
        <v>19</v>
      </c>
      <c r="U33" s="77">
        <f t="shared" si="3"/>
        <v>0</v>
      </c>
      <c r="V33" s="84">
        <v>0</v>
      </c>
      <c r="W33" s="79">
        <f t="shared" si="4"/>
        <v>0</v>
      </c>
      <c r="X33" s="80" t="e">
        <f t="shared" si="2"/>
        <v>#DIV/0!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</v>
      </c>
      <c r="V34" s="84">
        <v>0</v>
      </c>
      <c r="W34" s="79">
        <f t="shared" si="4"/>
        <v>0</v>
      </c>
      <c r="X34" s="80" t="e">
        <f t="shared" si="2"/>
        <v>#DIV/0!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</v>
      </c>
      <c r="V35" s="84">
        <v>0</v>
      </c>
      <c r="W35" s="79">
        <f t="shared" si="4"/>
        <v>0</v>
      </c>
      <c r="X35" s="80" t="e">
        <f t="shared" si="2"/>
        <v>#DIV/0!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</v>
      </c>
      <c r="V36" s="84">
        <v>0</v>
      </c>
      <c r="W36" s="79">
        <f t="shared" si="4"/>
        <v>0</v>
      </c>
      <c r="X36" s="80" t="e">
        <f t="shared" si="2"/>
        <v>#DIV/0!</v>
      </c>
    </row>
    <row r="37" spans="1:24" ht="15.75" x14ac:dyDescent="0.25">
      <c r="A37" s="103" t="s">
        <v>8</v>
      </c>
      <c r="B37" s="52">
        <f>1.05*B11</f>
        <v>0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</v>
      </c>
      <c r="V37" s="84">
        <v>0</v>
      </c>
      <c r="W37" s="79">
        <f t="shared" si="4"/>
        <v>0</v>
      </c>
      <c r="X37" s="80" t="e">
        <f t="shared" si="2"/>
        <v>#DIV/0!</v>
      </c>
    </row>
    <row r="38" spans="1:24" ht="15" x14ac:dyDescent="0.2">
      <c r="A38" s="104" t="s">
        <v>19</v>
      </c>
      <c r="B38" s="53">
        <f>($B$37-$B$36)/25</f>
        <v>0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</v>
      </c>
      <c r="V38" s="84">
        <v>0</v>
      </c>
      <c r="W38" s="79">
        <f t="shared" si="4"/>
        <v>0</v>
      </c>
      <c r="X38" s="80" t="e">
        <f t="shared" si="2"/>
        <v>#DIV/0!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</v>
      </c>
      <c r="V39" s="84">
        <v>0</v>
      </c>
      <c r="W39" s="79">
        <f t="shared" si="4"/>
        <v>0</v>
      </c>
      <c r="X39" s="80" t="e">
        <f t="shared" si="2"/>
        <v>#DIV/0!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 t="e">
        <f t="shared" si="2"/>
        <v>#DIV/0!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0</v>
      </c>
      <c r="U46" s="28">
        <v>0</v>
      </c>
    </row>
    <row r="47" spans="1:24" ht="15" x14ac:dyDescent="0.2">
      <c r="D47" s="9"/>
      <c r="E47" s="9"/>
      <c r="M47" s="56"/>
      <c r="N47" s="57"/>
      <c r="O47" s="58" t="b">
        <f t="shared" si="0"/>
        <v>0</v>
      </c>
      <c r="T47" s="85">
        <f>$U$14+$B$38/100</f>
        <v>0</v>
      </c>
      <c r="U47" s="28" t="e">
        <f>$X$15</f>
        <v>#DIV/0!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</v>
      </c>
      <c r="U48" s="28" t="e">
        <f>$X$15</f>
        <v>#DIV/0!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</v>
      </c>
      <c r="U49" s="28" t="e">
        <f>$X$16</f>
        <v>#DIV/0!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</v>
      </c>
      <c r="U50" s="28" t="e">
        <f>$X$16</f>
        <v>#DIV/0!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</v>
      </c>
      <c r="U51" s="28" t="e">
        <f>$X$17</f>
        <v>#DIV/0!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</v>
      </c>
      <c r="U52" s="28" t="e">
        <f>$X$17</f>
        <v>#DIV/0!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</v>
      </c>
      <c r="U53" s="28" t="e">
        <f>$X$18</f>
        <v>#DIV/0!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</v>
      </c>
      <c r="U54" s="28" t="e">
        <f>$X$18</f>
        <v>#DIV/0!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</v>
      </c>
      <c r="U55" s="28" t="e">
        <f>$X$19</f>
        <v>#DIV/0!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/>
      <c r="K56" s="69"/>
      <c r="M56" s="56"/>
      <c r="N56" s="57"/>
      <c r="O56" s="58" t="b">
        <f t="shared" si="0"/>
        <v>0</v>
      </c>
      <c r="T56" s="85">
        <f>$U$19-$B$38/100</f>
        <v>0</v>
      </c>
      <c r="U56" s="28" t="e">
        <f>$X$19</f>
        <v>#DIV/0!</v>
      </c>
    </row>
    <row r="57" spans="5:21" ht="15" x14ac:dyDescent="0.2">
      <c r="E57" s="70">
        <v>36161</v>
      </c>
      <c r="F57" s="74" t="e">
        <f>$B$21</f>
        <v>#DIV/0!</v>
      </c>
      <c r="G57" s="74" t="e">
        <f>$C$21</f>
        <v>#DIV/0!</v>
      </c>
      <c r="H57" s="74" t="e">
        <f>$B$22</f>
        <v>#DIV/0!</v>
      </c>
      <c r="I57" s="74" t="e">
        <f>$C$22</f>
        <v>#DIV/0!</v>
      </c>
      <c r="J57" s="74"/>
      <c r="K57" s="74"/>
      <c r="M57" s="56"/>
      <c r="N57" s="57"/>
      <c r="O57" s="58" t="b">
        <f t="shared" si="0"/>
        <v>0</v>
      </c>
      <c r="T57" s="85">
        <f>$U$19+$B$38/100</f>
        <v>0</v>
      </c>
      <c r="U57" s="28" t="e">
        <f>$X$20</f>
        <v>#DIV/0!</v>
      </c>
    </row>
    <row r="58" spans="5:21" ht="15" x14ac:dyDescent="0.2">
      <c r="E58" s="70">
        <v>51501</v>
      </c>
      <c r="F58" s="74" t="e">
        <f>$B$21</f>
        <v>#DIV/0!</v>
      </c>
      <c r="G58" s="74" t="e">
        <f>$C$21</f>
        <v>#DIV/0!</v>
      </c>
      <c r="H58" s="74" t="e">
        <f>$B$22</f>
        <v>#DIV/0!</v>
      </c>
      <c r="I58" s="74" t="e">
        <f>$C$22</f>
        <v>#DIV/0!</v>
      </c>
      <c r="J58" s="74"/>
      <c r="K58" s="74"/>
      <c r="M58" s="56"/>
      <c r="N58" s="57"/>
      <c r="O58" s="58" t="b">
        <f t="shared" si="0"/>
        <v>0</v>
      </c>
      <c r="T58" s="85">
        <f>$U$20-$B$38/100</f>
        <v>0</v>
      </c>
      <c r="U58" s="28" t="e">
        <f>$X$20</f>
        <v>#DIV/0!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</v>
      </c>
      <c r="U59" s="28" t="e">
        <f>$X$21</f>
        <v>#DIV/0!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</v>
      </c>
      <c r="U60" s="28" t="e">
        <f>$X$21</f>
        <v>#DIV/0!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</v>
      </c>
      <c r="U61" s="28" t="e">
        <f>$X$22</f>
        <v>#DIV/0!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</v>
      </c>
      <c r="U62" s="28" t="e">
        <f>$X$22</f>
        <v>#DIV/0!</v>
      </c>
    </row>
    <row r="63" spans="5:21" ht="15" x14ac:dyDescent="0.2">
      <c r="E63" s="72">
        <v>-5</v>
      </c>
      <c r="F63" s="73" t="e">
        <f>$B$16+$E63*$B$17</f>
        <v>#DIV/0!</v>
      </c>
      <c r="G63" s="73" t="e">
        <f>NORMDIST($F63,$B$16,$B$17,FALSE)</f>
        <v>#DIV/0!</v>
      </c>
      <c r="H63" s="73" t="e">
        <f>EXP($R$26+$E63*$R$27)</f>
        <v>#DIV/0!</v>
      </c>
      <c r="I63" s="73" t="e">
        <f t="shared" ref="I63:I94" si="5">H63-$B$26</f>
        <v>#DIV/0!</v>
      </c>
      <c r="J63" s="73" t="e">
        <f>1/$H63/SQRT(2*PI())/$R$27*EXP(-POWER(LN($H63)-$R$26,2)/2/POWER($R$27,2))</f>
        <v>#DIV/0!</v>
      </c>
      <c r="K63" s="73" t="e">
        <f>LOGNORMDIST($H63,$R$26,$R$27)</f>
        <v>#DIV/0!</v>
      </c>
      <c r="M63" s="56"/>
      <c r="N63" s="57"/>
      <c r="O63" s="58" t="b">
        <f t="shared" si="0"/>
        <v>0</v>
      </c>
      <c r="T63" s="85">
        <f>$U$22+$B$38/100</f>
        <v>0</v>
      </c>
      <c r="U63" s="28" t="e">
        <f>$X$23</f>
        <v>#DIV/0!</v>
      </c>
    </row>
    <row r="64" spans="5:21" ht="15" x14ac:dyDescent="0.2">
      <c r="E64" s="72">
        <v>-4.8</v>
      </c>
      <c r="F64" s="73" t="e">
        <f t="shared" ref="F64:F113" si="6">$B$16+$E64*$B$17</f>
        <v>#DIV/0!</v>
      </c>
      <c r="G64" s="73" t="e">
        <f t="shared" ref="G64:G113" si="7">NORMDIST($F64,$B$16,$B$17,FALSE)</f>
        <v>#DIV/0!</v>
      </c>
      <c r="H64" s="73" t="e">
        <f t="shared" ref="H64:H113" si="8">EXP($R$26+$E64*$R$27)</f>
        <v>#DIV/0!</v>
      </c>
      <c r="I64" s="73" t="e">
        <f t="shared" si="5"/>
        <v>#DIV/0!</v>
      </c>
      <c r="J64" s="73" t="e">
        <f t="shared" ref="J64:J113" si="9">1/$H64/SQRT(2*PI())/$R$27*EXP(-POWER(LN($H64)-$R$26,2)/2/POWER($R$27,2))</f>
        <v>#DIV/0!</v>
      </c>
      <c r="K64" s="73" t="e">
        <f t="shared" ref="K64:K113" si="10">LOGNORMDIST($H64,$R$26,$R$27)</f>
        <v>#DIV/0!</v>
      </c>
      <c r="M64" s="56"/>
      <c r="N64" s="57"/>
      <c r="O64" s="58" t="b">
        <f t="shared" si="0"/>
        <v>0</v>
      </c>
      <c r="T64" s="85">
        <f>$U$23-$B$38/100</f>
        <v>0</v>
      </c>
      <c r="U64" s="28" t="e">
        <f>$X$23</f>
        <v>#DIV/0!</v>
      </c>
    </row>
    <row r="65" spans="5:21" ht="15" x14ac:dyDescent="0.2">
      <c r="E65" s="72">
        <v>-4.5999999999999996</v>
      </c>
      <c r="F65" s="73" t="e">
        <f t="shared" si="6"/>
        <v>#DIV/0!</v>
      </c>
      <c r="G65" s="73" t="e">
        <f t="shared" si="7"/>
        <v>#DIV/0!</v>
      </c>
      <c r="H65" s="73" t="e">
        <f t="shared" si="8"/>
        <v>#DIV/0!</v>
      </c>
      <c r="I65" s="73" t="e">
        <f t="shared" si="5"/>
        <v>#DIV/0!</v>
      </c>
      <c r="J65" s="73" t="e">
        <f t="shared" si="9"/>
        <v>#DIV/0!</v>
      </c>
      <c r="K65" s="73" t="e">
        <f t="shared" si="10"/>
        <v>#DIV/0!</v>
      </c>
      <c r="M65" s="56"/>
      <c r="N65" s="57"/>
      <c r="O65" s="58" t="b">
        <f t="shared" si="0"/>
        <v>0</v>
      </c>
      <c r="T65" s="85">
        <f>$U$23+$B$38/100</f>
        <v>0</v>
      </c>
      <c r="U65" s="28" t="e">
        <f>$X$24</f>
        <v>#DIV/0!</v>
      </c>
    </row>
    <row r="66" spans="5:21" ht="15" x14ac:dyDescent="0.2">
      <c r="E66" s="72">
        <v>-4.4000000000000004</v>
      </c>
      <c r="F66" s="73" t="e">
        <f t="shared" si="6"/>
        <v>#DIV/0!</v>
      </c>
      <c r="G66" s="73" t="e">
        <f t="shared" si="7"/>
        <v>#DIV/0!</v>
      </c>
      <c r="H66" s="73" t="e">
        <f t="shared" si="8"/>
        <v>#DIV/0!</v>
      </c>
      <c r="I66" s="73" t="e">
        <f t="shared" si="5"/>
        <v>#DIV/0!</v>
      </c>
      <c r="J66" s="73" t="e">
        <f t="shared" si="9"/>
        <v>#DIV/0!</v>
      </c>
      <c r="K66" s="73" t="e">
        <f t="shared" si="10"/>
        <v>#DIV/0!</v>
      </c>
      <c r="M66" s="56"/>
      <c r="N66" s="57"/>
      <c r="O66" s="58" t="b">
        <f t="shared" si="0"/>
        <v>0</v>
      </c>
      <c r="T66" s="85">
        <f>$U$24-$B$38/100</f>
        <v>0</v>
      </c>
      <c r="U66" s="28" t="e">
        <f>$X$24</f>
        <v>#DIV/0!</v>
      </c>
    </row>
    <row r="67" spans="5:21" ht="15" x14ac:dyDescent="0.2">
      <c r="E67" s="72">
        <v>-4.2</v>
      </c>
      <c r="F67" s="73" t="e">
        <f t="shared" si="6"/>
        <v>#DIV/0!</v>
      </c>
      <c r="G67" s="73" t="e">
        <f t="shared" si="7"/>
        <v>#DIV/0!</v>
      </c>
      <c r="H67" s="73" t="e">
        <f t="shared" si="8"/>
        <v>#DIV/0!</v>
      </c>
      <c r="I67" s="73" t="e">
        <f t="shared" si="5"/>
        <v>#DIV/0!</v>
      </c>
      <c r="J67" s="73" t="e">
        <f t="shared" si="9"/>
        <v>#DIV/0!</v>
      </c>
      <c r="K67" s="73" t="e">
        <f t="shared" si="10"/>
        <v>#DIV/0!</v>
      </c>
      <c r="M67" s="56"/>
      <c r="N67" s="57"/>
      <c r="O67" s="58" t="b">
        <f t="shared" ref="O67:O130" si="11">IF($N67&gt;0,LN($N67+$B$26))</f>
        <v>0</v>
      </c>
      <c r="T67" s="85">
        <f>$U$24+$B$38/100</f>
        <v>0</v>
      </c>
      <c r="U67" s="28" t="e">
        <f>$X$25</f>
        <v>#DIV/0!</v>
      </c>
    </row>
    <row r="68" spans="5:21" ht="15" x14ac:dyDescent="0.2">
      <c r="E68" s="72">
        <v>-4</v>
      </c>
      <c r="F68" s="73" t="e">
        <f t="shared" si="6"/>
        <v>#DIV/0!</v>
      </c>
      <c r="G68" s="73" t="e">
        <f t="shared" si="7"/>
        <v>#DIV/0!</v>
      </c>
      <c r="H68" s="73" t="e">
        <f t="shared" si="8"/>
        <v>#DIV/0!</v>
      </c>
      <c r="I68" s="73" t="e">
        <f t="shared" si="5"/>
        <v>#DIV/0!</v>
      </c>
      <c r="J68" s="73" t="e">
        <f t="shared" si="9"/>
        <v>#DIV/0!</v>
      </c>
      <c r="K68" s="73" t="e">
        <f t="shared" si="10"/>
        <v>#DIV/0!</v>
      </c>
      <c r="M68" s="56"/>
      <c r="N68" s="57"/>
      <c r="O68" s="58" t="b">
        <f t="shared" si="11"/>
        <v>0</v>
      </c>
      <c r="T68" s="85">
        <f>$U$25-$B$38/100</f>
        <v>0</v>
      </c>
      <c r="U68" s="28" t="e">
        <f>$X$25</f>
        <v>#DIV/0!</v>
      </c>
    </row>
    <row r="69" spans="5:21" ht="15" x14ac:dyDescent="0.2">
      <c r="E69" s="72">
        <v>-3.8</v>
      </c>
      <c r="F69" s="73" t="e">
        <f t="shared" si="6"/>
        <v>#DIV/0!</v>
      </c>
      <c r="G69" s="73" t="e">
        <f t="shared" si="7"/>
        <v>#DIV/0!</v>
      </c>
      <c r="H69" s="73" t="e">
        <f t="shared" si="8"/>
        <v>#DIV/0!</v>
      </c>
      <c r="I69" s="73" t="e">
        <f t="shared" si="5"/>
        <v>#DIV/0!</v>
      </c>
      <c r="J69" s="73" t="e">
        <f t="shared" si="9"/>
        <v>#DIV/0!</v>
      </c>
      <c r="K69" s="73" t="e">
        <f t="shared" si="10"/>
        <v>#DIV/0!</v>
      </c>
      <c r="M69" s="56"/>
      <c r="N69" s="57"/>
      <c r="O69" s="58" t="b">
        <f t="shared" si="11"/>
        <v>0</v>
      </c>
      <c r="T69" s="85">
        <f>$U$25+$B$38/100</f>
        <v>0</v>
      </c>
      <c r="U69" s="28" t="e">
        <f>$X$26</f>
        <v>#DIV/0!</v>
      </c>
    </row>
    <row r="70" spans="5:21" ht="15" x14ac:dyDescent="0.2">
      <c r="E70" s="72">
        <v>-3.6</v>
      </c>
      <c r="F70" s="73" t="e">
        <f t="shared" si="6"/>
        <v>#DIV/0!</v>
      </c>
      <c r="G70" s="73" t="e">
        <f t="shared" si="7"/>
        <v>#DIV/0!</v>
      </c>
      <c r="H70" s="73" t="e">
        <f t="shared" si="8"/>
        <v>#DIV/0!</v>
      </c>
      <c r="I70" s="73" t="e">
        <f t="shared" si="5"/>
        <v>#DIV/0!</v>
      </c>
      <c r="J70" s="73" t="e">
        <f t="shared" si="9"/>
        <v>#DIV/0!</v>
      </c>
      <c r="K70" s="73" t="e">
        <f t="shared" si="10"/>
        <v>#DIV/0!</v>
      </c>
      <c r="M70" s="56"/>
      <c r="N70" s="57"/>
      <c r="O70" s="58" t="b">
        <f t="shared" si="11"/>
        <v>0</v>
      </c>
      <c r="T70" s="85">
        <f>$U$26-$B$38/100</f>
        <v>0</v>
      </c>
      <c r="U70" s="28" t="e">
        <f>$X$26</f>
        <v>#DIV/0!</v>
      </c>
    </row>
    <row r="71" spans="5:21" ht="15" x14ac:dyDescent="0.2">
      <c r="E71" s="72">
        <v>-3.4</v>
      </c>
      <c r="F71" s="73" t="e">
        <f t="shared" si="6"/>
        <v>#DIV/0!</v>
      </c>
      <c r="G71" s="73" t="e">
        <f t="shared" si="7"/>
        <v>#DIV/0!</v>
      </c>
      <c r="H71" s="73" t="e">
        <f t="shared" si="8"/>
        <v>#DIV/0!</v>
      </c>
      <c r="I71" s="73" t="e">
        <f t="shared" si="5"/>
        <v>#DIV/0!</v>
      </c>
      <c r="J71" s="73" t="e">
        <f t="shared" si="9"/>
        <v>#DIV/0!</v>
      </c>
      <c r="K71" s="73" t="e">
        <f t="shared" si="10"/>
        <v>#DIV/0!</v>
      </c>
      <c r="M71" s="56"/>
      <c r="N71" s="57"/>
      <c r="O71" s="58" t="b">
        <f t="shared" si="11"/>
        <v>0</v>
      </c>
      <c r="T71" s="85">
        <f>$U$26+$B$38/100</f>
        <v>0</v>
      </c>
      <c r="U71" s="28" t="e">
        <f>$X$27</f>
        <v>#DIV/0!</v>
      </c>
    </row>
    <row r="72" spans="5:21" ht="15" x14ac:dyDescent="0.2">
      <c r="E72" s="72">
        <v>-3.2</v>
      </c>
      <c r="F72" s="73" t="e">
        <f t="shared" si="6"/>
        <v>#DIV/0!</v>
      </c>
      <c r="G72" s="73" t="e">
        <f t="shared" si="7"/>
        <v>#DIV/0!</v>
      </c>
      <c r="H72" s="73" t="e">
        <f t="shared" si="8"/>
        <v>#DIV/0!</v>
      </c>
      <c r="I72" s="73" t="e">
        <f t="shared" si="5"/>
        <v>#DIV/0!</v>
      </c>
      <c r="J72" s="73" t="e">
        <f t="shared" si="9"/>
        <v>#DIV/0!</v>
      </c>
      <c r="K72" s="73" t="e">
        <f t="shared" si="10"/>
        <v>#DIV/0!</v>
      </c>
      <c r="M72" s="56"/>
      <c r="N72" s="57"/>
      <c r="O72" s="58" t="b">
        <f t="shared" si="11"/>
        <v>0</v>
      </c>
      <c r="T72" s="85">
        <f>$U$27-$B$38/100</f>
        <v>0</v>
      </c>
      <c r="U72" s="28" t="e">
        <f>$X$27</f>
        <v>#DIV/0!</v>
      </c>
    </row>
    <row r="73" spans="5:21" ht="15" x14ac:dyDescent="0.2">
      <c r="E73" s="72">
        <v>-3</v>
      </c>
      <c r="F73" s="73" t="e">
        <f t="shared" si="6"/>
        <v>#DIV/0!</v>
      </c>
      <c r="G73" s="73" t="e">
        <f t="shared" si="7"/>
        <v>#DIV/0!</v>
      </c>
      <c r="H73" s="73" t="e">
        <f t="shared" si="8"/>
        <v>#DIV/0!</v>
      </c>
      <c r="I73" s="73" t="e">
        <f t="shared" si="5"/>
        <v>#DIV/0!</v>
      </c>
      <c r="J73" s="73" t="e">
        <f t="shared" si="9"/>
        <v>#DIV/0!</v>
      </c>
      <c r="K73" s="73" t="e">
        <f t="shared" si="10"/>
        <v>#DIV/0!</v>
      </c>
      <c r="M73" s="56"/>
      <c r="N73" s="57"/>
      <c r="O73" s="58" t="b">
        <f t="shared" si="11"/>
        <v>0</v>
      </c>
      <c r="T73" s="85">
        <f>$U$27+$B$38/100</f>
        <v>0</v>
      </c>
      <c r="U73" s="28" t="e">
        <f>$X$28</f>
        <v>#DIV/0!</v>
      </c>
    </row>
    <row r="74" spans="5:21" ht="15" x14ac:dyDescent="0.2">
      <c r="E74" s="72">
        <v>-2.8</v>
      </c>
      <c r="F74" s="73" t="e">
        <f t="shared" si="6"/>
        <v>#DIV/0!</v>
      </c>
      <c r="G74" s="73" t="e">
        <f t="shared" si="7"/>
        <v>#DIV/0!</v>
      </c>
      <c r="H74" s="73" t="e">
        <f t="shared" si="8"/>
        <v>#DIV/0!</v>
      </c>
      <c r="I74" s="73" t="e">
        <f t="shared" si="5"/>
        <v>#DIV/0!</v>
      </c>
      <c r="J74" s="73" t="e">
        <f t="shared" si="9"/>
        <v>#DIV/0!</v>
      </c>
      <c r="K74" s="73" t="e">
        <f t="shared" si="10"/>
        <v>#DIV/0!</v>
      </c>
      <c r="M74" s="56"/>
      <c r="N74" s="57"/>
      <c r="O74" s="58" t="b">
        <f t="shared" si="11"/>
        <v>0</v>
      </c>
      <c r="T74" s="85">
        <f>$U$28-$B$38/100</f>
        <v>0</v>
      </c>
      <c r="U74" s="28" t="e">
        <f>$X$28</f>
        <v>#DIV/0!</v>
      </c>
    </row>
    <row r="75" spans="5:21" ht="15" x14ac:dyDescent="0.2">
      <c r="E75" s="72">
        <v>-2.6</v>
      </c>
      <c r="F75" s="73" t="e">
        <f t="shared" si="6"/>
        <v>#DIV/0!</v>
      </c>
      <c r="G75" s="73" t="e">
        <f t="shared" si="7"/>
        <v>#DIV/0!</v>
      </c>
      <c r="H75" s="73" t="e">
        <f t="shared" si="8"/>
        <v>#DIV/0!</v>
      </c>
      <c r="I75" s="73" t="e">
        <f t="shared" si="5"/>
        <v>#DIV/0!</v>
      </c>
      <c r="J75" s="73" t="e">
        <f t="shared" si="9"/>
        <v>#DIV/0!</v>
      </c>
      <c r="K75" s="73" t="e">
        <f t="shared" si="10"/>
        <v>#DIV/0!</v>
      </c>
      <c r="M75" s="56"/>
      <c r="N75" s="57"/>
      <c r="O75" s="58" t="b">
        <f t="shared" si="11"/>
        <v>0</v>
      </c>
      <c r="T75" s="85">
        <f>$U$28+$B$38/100</f>
        <v>0</v>
      </c>
      <c r="U75" s="28" t="e">
        <f>$X$29</f>
        <v>#DIV/0!</v>
      </c>
    </row>
    <row r="76" spans="5:21" ht="15" x14ac:dyDescent="0.2">
      <c r="E76" s="72">
        <v>-2.4</v>
      </c>
      <c r="F76" s="73" t="e">
        <f t="shared" si="6"/>
        <v>#DIV/0!</v>
      </c>
      <c r="G76" s="73" t="e">
        <f t="shared" si="7"/>
        <v>#DIV/0!</v>
      </c>
      <c r="H76" s="73" t="e">
        <f t="shared" si="8"/>
        <v>#DIV/0!</v>
      </c>
      <c r="I76" s="73" t="e">
        <f t="shared" si="5"/>
        <v>#DIV/0!</v>
      </c>
      <c r="J76" s="73" t="e">
        <f t="shared" si="9"/>
        <v>#DIV/0!</v>
      </c>
      <c r="K76" s="73" t="e">
        <f t="shared" si="10"/>
        <v>#DIV/0!</v>
      </c>
      <c r="M76" s="56"/>
      <c r="N76" s="57"/>
      <c r="O76" s="58" t="b">
        <f t="shared" si="11"/>
        <v>0</v>
      </c>
      <c r="T76" s="85">
        <f>$U$29-$B$38/100</f>
        <v>0</v>
      </c>
      <c r="U76" s="28" t="e">
        <f>$X$29</f>
        <v>#DIV/0!</v>
      </c>
    </row>
    <row r="77" spans="5:21" ht="15" x14ac:dyDescent="0.2">
      <c r="E77" s="72">
        <v>-2.2000000000000002</v>
      </c>
      <c r="F77" s="73" t="e">
        <f t="shared" si="6"/>
        <v>#DIV/0!</v>
      </c>
      <c r="G77" s="73" t="e">
        <f t="shared" si="7"/>
        <v>#DIV/0!</v>
      </c>
      <c r="H77" s="73" t="e">
        <f t="shared" si="8"/>
        <v>#DIV/0!</v>
      </c>
      <c r="I77" s="73" t="e">
        <f t="shared" si="5"/>
        <v>#DIV/0!</v>
      </c>
      <c r="J77" s="73" t="e">
        <f t="shared" si="9"/>
        <v>#DIV/0!</v>
      </c>
      <c r="K77" s="73" t="e">
        <f t="shared" si="10"/>
        <v>#DIV/0!</v>
      </c>
      <c r="L77" s="16"/>
      <c r="M77" s="56"/>
      <c r="N77" s="57"/>
      <c r="O77" s="58" t="b">
        <f t="shared" si="11"/>
        <v>0</v>
      </c>
      <c r="T77" s="85">
        <f>$U$29+$B$38/100</f>
        <v>0</v>
      </c>
      <c r="U77" s="28" t="e">
        <f>$X$30</f>
        <v>#DIV/0!</v>
      </c>
    </row>
    <row r="78" spans="5:21" ht="15" x14ac:dyDescent="0.2">
      <c r="E78" s="72">
        <v>-2</v>
      </c>
      <c r="F78" s="73" t="e">
        <f t="shared" si="6"/>
        <v>#DIV/0!</v>
      </c>
      <c r="G78" s="73" t="e">
        <f t="shared" si="7"/>
        <v>#DIV/0!</v>
      </c>
      <c r="H78" s="73" t="e">
        <f t="shared" si="8"/>
        <v>#DIV/0!</v>
      </c>
      <c r="I78" s="73" t="e">
        <f t="shared" si="5"/>
        <v>#DIV/0!</v>
      </c>
      <c r="J78" s="73" t="e">
        <f t="shared" si="9"/>
        <v>#DIV/0!</v>
      </c>
      <c r="K78" s="73" t="e">
        <f t="shared" si="10"/>
        <v>#DIV/0!</v>
      </c>
      <c r="L78" s="16"/>
      <c r="M78" s="56"/>
      <c r="N78" s="57"/>
      <c r="O78" s="58" t="b">
        <f t="shared" si="11"/>
        <v>0</v>
      </c>
      <c r="T78" s="85">
        <f>$U$30-$B$38/100</f>
        <v>0</v>
      </c>
      <c r="U78" s="28" t="e">
        <f>$X$30</f>
        <v>#DIV/0!</v>
      </c>
    </row>
    <row r="79" spans="5:21" ht="15" x14ac:dyDescent="0.2">
      <c r="E79" s="72">
        <v>-1.8</v>
      </c>
      <c r="F79" s="73" t="e">
        <f t="shared" si="6"/>
        <v>#DIV/0!</v>
      </c>
      <c r="G79" s="73" t="e">
        <f t="shared" si="7"/>
        <v>#DIV/0!</v>
      </c>
      <c r="H79" s="73" t="e">
        <f t="shared" si="8"/>
        <v>#DIV/0!</v>
      </c>
      <c r="I79" s="73" t="e">
        <f t="shared" si="5"/>
        <v>#DIV/0!</v>
      </c>
      <c r="J79" s="73" t="e">
        <f t="shared" si="9"/>
        <v>#DIV/0!</v>
      </c>
      <c r="K79" s="73" t="e">
        <f t="shared" si="10"/>
        <v>#DIV/0!</v>
      </c>
      <c r="L79" s="16"/>
      <c r="M79" s="56"/>
      <c r="N79" s="57"/>
      <c r="O79" s="58" t="b">
        <f t="shared" si="11"/>
        <v>0</v>
      </c>
      <c r="T79" s="85">
        <f>$U$30+$B$38/100</f>
        <v>0</v>
      </c>
      <c r="U79" s="28" t="e">
        <f>$X$31</f>
        <v>#DIV/0!</v>
      </c>
    </row>
    <row r="80" spans="5:21" ht="15" x14ac:dyDescent="0.2">
      <c r="E80" s="72">
        <v>-1.6</v>
      </c>
      <c r="F80" s="73" t="e">
        <f t="shared" si="6"/>
        <v>#DIV/0!</v>
      </c>
      <c r="G80" s="73" t="e">
        <f t="shared" si="7"/>
        <v>#DIV/0!</v>
      </c>
      <c r="H80" s="73" t="e">
        <f t="shared" si="8"/>
        <v>#DIV/0!</v>
      </c>
      <c r="I80" s="73" t="e">
        <f t="shared" si="5"/>
        <v>#DIV/0!</v>
      </c>
      <c r="J80" s="73" t="e">
        <f t="shared" si="9"/>
        <v>#DIV/0!</v>
      </c>
      <c r="K80" s="73" t="e">
        <f t="shared" si="10"/>
        <v>#DIV/0!</v>
      </c>
      <c r="L80" s="16"/>
      <c r="M80" s="56"/>
      <c r="N80" s="57"/>
      <c r="O80" s="58" t="b">
        <f t="shared" si="11"/>
        <v>0</v>
      </c>
      <c r="T80" s="85">
        <f>$U$31-$B$38/100</f>
        <v>0</v>
      </c>
      <c r="U80" s="28" t="e">
        <f>$X$31</f>
        <v>#DIV/0!</v>
      </c>
    </row>
    <row r="81" spans="5:21" ht="15" x14ac:dyDescent="0.2">
      <c r="E81" s="72">
        <v>-1.4</v>
      </c>
      <c r="F81" s="73" t="e">
        <f t="shared" si="6"/>
        <v>#DIV/0!</v>
      </c>
      <c r="G81" s="73" t="e">
        <f t="shared" si="7"/>
        <v>#DIV/0!</v>
      </c>
      <c r="H81" s="73" t="e">
        <f t="shared" si="8"/>
        <v>#DIV/0!</v>
      </c>
      <c r="I81" s="73" t="e">
        <f t="shared" si="5"/>
        <v>#DIV/0!</v>
      </c>
      <c r="J81" s="73" t="e">
        <f t="shared" si="9"/>
        <v>#DIV/0!</v>
      </c>
      <c r="K81" s="73" t="e">
        <f t="shared" si="10"/>
        <v>#DIV/0!</v>
      </c>
      <c r="L81" s="14"/>
      <c r="M81" s="56"/>
      <c r="N81" s="57"/>
      <c r="O81" s="58" t="b">
        <f t="shared" si="11"/>
        <v>0</v>
      </c>
      <c r="T81" s="85">
        <f>$U$31+$B$38/100</f>
        <v>0</v>
      </c>
      <c r="U81" s="28" t="e">
        <f>$X$32</f>
        <v>#DIV/0!</v>
      </c>
    </row>
    <row r="82" spans="5:21" ht="15" x14ac:dyDescent="0.2">
      <c r="E82" s="72">
        <v>-1.2</v>
      </c>
      <c r="F82" s="73" t="e">
        <f t="shared" si="6"/>
        <v>#DIV/0!</v>
      </c>
      <c r="G82" s="73" t="e">
        <f t="shared" si="7"/>
        <v>#DIV/0!</v>
      </c>
      <c r="H82" s="73" t="e">
        <f t="shared" si="8"/>
        <v>#DIV/0!</v>
      </c>
      <c r="I82" s="73" t="e">
        <f t="shared" si="5"/>
        <v>#DIV/0!</v>
      </c>
      <c r="J82" s="73" t="e">
        <f t="shared" si="9"/>
        <v>#DIV/0!</v>
      </c>
      <c r="K82" s="73" t="e">
        <f t="shared" si="10"/>
        <v>#DIV/0!</v>
      </c>
      <c r="L82" s="14"/>
      <c r="M82" s="56"/>
      <c r="N82" s="57"/>
      <c r="O82" s="58" t="b">
        <f t="shared" si="11"/>
        <v>0</v>
      </c>
      <c r="T82" s="85">
        <f>$U$32-$B$38/100</f>
        <v>0</v>
      </c>
      <c r="U82" s="28" t="e">
        <f>$X$32</f>
        <v>#DIV/0!</v>
      </c>
    </row>
    <row r="83" spans="5:21" ht="15" x14ac:dyDescent="0.2">
      <c r="E83" s="72">
        <v>-1</v>
      </c>
      <c r="F83" s="73" t="e">
        <f t="shared" si="6"/>
        <v>#DIV/0!</v>
      </c>
      <c r="G83" s="73" t="e">
        <f t="shared" si="7"/>
        <v>#DIV/0!</v>
      </c>
      <c r="H83" s="73" t="e">
        <f t="shared" si="8"/>
        <v>#DIV/0!</v>
      </c>
      <c r="I83" s="73" t="e">
        <f t="shared" si="5"/>
        <v>#DIV/0!</v>
      </c>
      <c r="J83" s="73" t="e">
        <f t="shared" si="9"/>
        <v>#DIV/0!</v>
      </c>
      <c r="K83" s="73" t="e">
        <f t="shared" si="10"/>
        <v>#DIV/0!</v>
      </c>
      <c r="L83" s="14"/>
      <c r="M83" s="56"/>
      <c r="N83" s="57"/>
      <c r="O83" s="58" t="b">
        <f t="shared" si="11"/>
        <v>0</v>
      </c>
      <c r="T83" s="85">
        <f>$U$32+$B$38/100</f>
        <v>0</v>
      </c>
      <c r="U83" s="28" t="e">
        <f>$X$33</f>
        <v>#DIV/0!</v>
      </c>
    </row>
    <row r="84" spans="5:21" ht="15" x14ac:dyDescent="0.2">
      <c r="E84" s="72">
        <v>-0.8</v>
      </c>
      <c r="F84" s="73" t="e">
        <f t="shared" si="6"/>
        <v>#DIV/0!</v>
      </c>
      <c r="G84" s="73" t="e">
        <f t="shared" si="7"/>
        <v>#DIV/0!</v>
      </c>
      <c r="H84" s="73" t="e">
        <f t="shared" si="8"/>
        <v>#DIV/0!</v>
      </c>
      <c r="I84" s="73" t="e">
        <f t="shared" si="5"/>
        <v>#DIV/0!</v>
      </c>
      <c r="J84" s="73" t="e">
        <f t="shared" si="9"/>
        <v>#DIV/0!</v>
      </c>
      <c r="K84" s="73" t="e">
        <f t="shared" si="10"/>
        <v>#DIV/0!</v>
      </c>
      <c r="M84" s="56"/>
      <c r="N84" s="57"/>
      <c r="O84" s="58" t="b">
        <f t="shared" si="11"/>
        <v>0</v>
      </c>
      <c r="T84" s="85">
        <f>$U$33-$B$38/100</f>
        <v>0</v>
      </c>
      <c r="U84" s="28" t="e">
        <f>$X$33</f>
        <v>#DIV/0!</v>
      </c>
    </row>
    <row r="85" spans="5:21" ht="15" x14ac:dyDescent="0.2">
      <c r="E85" s="72">
        <v>-0.6</v>
      </c>
      <c r="F85" s="73" t="e">
        <f t="shared" si="6"/>
        <v>#DIV/0!</v>
      </c>
      <c r="G85" s="73" t="e">
        <f t="shared" si="7"/>
        <v>#DIV/0!</v>
      </c>
      <c r="H85" s="73" t="e">
        <f t="shared" si="8"/>
        <v>#DIV/0!</v>
      </c>
      <c r="I85" s="73" t="e">
        <f t="shared" si="5"/>
        <v>#DIV/0!</v>
      </c>
      <c r="J85" s="73" t="e">
        <f t="shared" si="9"/>
        <v>#DIV/0!</v>
      </c>
      <c r="K85" s="73" t="e">
        <f t="shared" si="10"/>
        <v>#DIV/0!</v>
      </c>
      <c r="M85" s="56"/>
      <c r="N85" s="57"/>
      <c r="O85" s="58" t="b">
        <f t="shared" si="11"/>
        <v>0</v>
      </c>
      <c r="T85" s="85">
        <f>$U$33+$B$38/100</f>
        <v>0</v>
      </c>
      <c r="U85" s="28" t="e">
        <f>$X$34</f>
        <v>#DIV/0!</v>
      </c>
    </row>
    <row r="86" spans="5:21" ht="15" x14ac:dyDescent="0.2">
      <c r="E86" s="72">
        <v>-0.4</v>
      </c>
      <c r="F86" s="73" t="e">
        <f t="shared" si="6"/>
        <v>#DIV/0!</v>
      </c>
      <c r="G86" s="73" t="e">
        <f t="shared" si="7"/>
        <v>#DIV/0!</v>
      </c>
      <c r="H86" s="73" t="e">
        <f t="shared" si="8"/>
        <v>#DIV/0!</v>
      </c>
      <c r="I86" s="73" t="e">
        <f t="shared" si="5"/>
        <v>#DIV/0!</v>
      </c>
      <c r="J86" s="73" t="e">
        <f t="shared" si="9"/>
        <v>#DIV/0!</v>
      </c>
      <c r="K86" s="73" t="e">
        <f t="shared" si="10"/>
        <v>#DIV/0!</v>
      </c>
      <c r="M86" s="56"/>
      <c r="N86" s="57"/>
      <c r="O86" s="58" t="b">
        <f t="shared" si="11"/>
        <v>0</v>
      </c>
      <c r="T86" s="85">
        <f>$U$34-$B$38/100</f>
        <v>0</v>
      </c>
      <c r="U86" s="28" t="e">
        <f>$X$34</f>
        <v>#DIV/0!</v>
      </c>
    </row>
    <row r="87" spans="5:21" ht="15" x14ac:dyDescent="0.2">
      <c r="E87" s="72">
        <v>-0.2</v>
      </c>
      <c r="F87" s="73" t="e">
        <f t="shared" si="6"/>
        <v>#DIV/0!</v>
      </c>
      <c r="G87" s="73" t="e">
        <f t="shared" si="7"/>
        <v>#DIV/0!</v>
      </c>
      <c r="H87" s="73" t="e">
        <f t="shared" si="8"/>
        <v>#DIV/0!</v>
      </c>
      <c r="I87" s="73" t="e">
        <f t="shared" si="5"/>
        <v>#DIV/0!</v>
      </c>
      <c r="J87" s="73" t="e">
        <f t="shared" si="9"/>
        <v>#DIV/0!</v>
      </c>
      <c r="K87" s="73" t="e">
        <f t="shared" si="10"/>
        <v>#DIV/0!</v>
      </c>
      <c r="M87" s="56"/>
      <c r="N87" s="57"/>
      <c r="O87" s="58" t="b">
        <f t="shared" si="11"/>
        <v>0</v>
      </c>
      <c r="T87" s="85">
        <f>$U$34+$B$38/100</f>
        <v>0</v>
      </c>
      <c r="U87" s="28" t="e">
        <f>$X$35</f>
        <v>#DIV/0!</v>
      </c>
    </row>
    <row r="88" spans="5:21" ht="15" x14ac:dyDescent="0.2">
      <c r="E88" s="72">
        <v>0</v>
      </c>
      <c r="F88" s="73" t="e">
        <f t="shared" si="6"/>
        <v>#DIV/0!</v>
      </c>
      <c r="G88" s="73" t="e">
        <f t="shared" si="7"/>
        <v>#DIV/0!</v>
      </c>
      <c r="H88" s="73" t="e">
        <f t="shared" si="8"/>
        <v>#DIV/0!</v>
      </c>
      <c r="I88" s="73" t="e">
        <f t="shared" si="5"/>
        <v>#DIV/0!</v>
      </c>
      <c r="J88" s="73" t="e">
        <f t="shared" si="9"/>
        <v>#DIV/0!</v>
      </c>
      <c r="K88" s="73" t="e">
        <f t="shared" si="10"/>
        <v>#DIV/0!</v>
      </c>
      <c r="M88" s="56"/>
      <c r="N88" s="57"/>
      <c r="O88" s="58" t="b">
        <f t="shared" si="11"/>
        <v>0</v>
      </c>
      <c r="T88" s="85">
        <f>$U$35-$B$38/100</f>
        <v>0</v>
      </c>
      <c r="U88" s="28" t="e">
        <f>$X$35</f>
        <v>#DIV/0!</v>
      </c>
    </row>
    <row r="89" spans="5:21" ht="15" x14ac:dyDescent="0.2">
      <c r="E89" s="72">
        <v>0.2</v>
      </c>
      <c r="F89" s="73" t="e">
        <f t="shared" si="6"/>
        <v>#DIV/0!</v>
      </c>
      <c r="G89" s="73" t="e">
        <f t="shared" si="7"/>
        <v>#DIV/0!</v>
      </c>
      <c r="H89" s="73" t="e">
        <f t="shared" si="8"/>
        <v>#DIV/0!</v>
      </c>
      <c r="I89" s="73" t="e">
        <f t="shared" si="5"/>
        <v>#DIV/0!</v>
      </c>
      <c r="J89" s="73" t="e">
        <f t="shared" si="9"/>
        <v>#DIV/0!</v>
      </c>
      <c r="K89" s="73" t="e">
        <f t="shared" si="10"/>
        <v>#DIV/0!</v>
      </c>
      <c r="M89" s="56"/>
      <c r="N89" s="57"/>
      <c r="O89" s="58" t="b">
        <f t="shared" si="11"/>
        <v>0</v>
      </c>
      <c r="T89" s="85">
        <f>$U$35+$B$38/100</f>
        <v>0</v>
      </c>
      <c r="U89" s="28" t="e">
        <f>$X$36</f>
        <v>#DIV/0!</v>
      </c>
    </row>
    <row r="90" spans="5:21" ht="15" x14ac:dyDescent="0.2">
      <c r="E90" s="72">
        <v>0.4</v>
      </c>
      <c r="F90" s="73" t="e">
        <f t="shared" si="6"/>
        <v>#DIV/0!</v>
      </c>
      <c r="G90" s="73" t="e">
        <f t="shared" si="7"/>
        <v>#DIV/0!</v>
      </c>
      <c r="H90" s="73" t="e">
        <f t="shared" si="8"/>
        <v>#DIV/0!</v>
      </c>
      <c r="I90" s="73" t="e">
        <f t="shared" si="5"/>
        <v>#DIV/0!</v>
      </c>
      <c r="J90" s="73" t="e">
        <f t="shared" si="9"/>
        <v>#DIV/0!</v>
      </c>
      <c r="K90" s="73" t="e">
        <f t="shared" si="10"/>
        <v>#DIV/0!</v>
      </c>
      <c r="M90" s="56"/>
      <c r="N90" s="57"/>
      <c r="O90" s="58" t="b">
        <f t="shared" si="11"/>
        <v>0</v>
      </c>
      <c r="T90" s="85">
        <f>$U$36-$B$38/100</f>
        <v>0</v>
      </c>
      <c r="U90" s="28" t="e">
        <f>$X$36</f>
        <v>#DIV/0!</v>
      </c>
    </row>
    <row r="91" spans="5:21" ht="15" x14ac:dyDescent="0.2">
      <c r="E91" s="72">
        <v>0.6</v>
      </c>
      <c r="F91" s="73" t="e">
        <f t="shared" si="6"/>
        <v>#DIV/0!</v>
      </c>
      <c r="G91" s="73" t="e">
        <f t="shared" si="7"/>
        <v>#DIV/0!</v>
      </c>
      <c r="H91" s="73" t="e">
        <f t="shared" si="8"/>
        <v>#DIV/0!</v>
      </c>
      <c r="I91" s="73" t="e">
        <f t="shared" si="5"/>
        <v>#DIV/0!</v>
      </c>
      <c r="J91" s="73" t="e">
        <f t="shared" si="9"/>
        <v>#DIV/0!</v>
      </c>
      <c r="K91" s="73" t="e">
        <f t="shared" si="10"/>
        <v>#DIV/0!</v>
      </c>
      <c r="M91" s="56"/>
      <c r="N91" s="57"/>
      <c r="O91" s="58" t="b">
        <f t="shared" si="11"/>
        <v>0</v>
      </c>
      <c r="T91" s="85">
        <f>$U$36+$B$38/100</f>
        <v>0</v>
      </c>
      <c r="U91" s="28" t="e">
        <f>$X$37</f>
        <v>#DIV/0!</v>
      </c>
    </row>
    <row r="92" spans="5:21" ht="15" x14ac:dyDescent="0.2">
      <c r="E92" s="72">
        <v>0.80000000000001004</v>
      </c>
      <c r="F92" s="73" t="e">
        <f t="shared" si="6"/>
        <v>#DIV/0!</v>
      </c>
      <c r="G92" s="73" t="e">
        <f t="shared" si="7"/>
        <v>#DIV/0!</v>
      </c>
      <c r="H92" s="73" t="e">
        <f t="shared" si="8"/>
        <v>#DIV/0!</v>
      </c>
      <c r="I92" s="73" t="e">
        <f t="shared" si="5"/>
        <v>#DIV/0!</v>
      </c>
      <c r="J92" s="73" t="e">
        <f t="shared" si="9"/>
        <v>#DIV/0!</v>
      </c>
      <c r="K92" s="73" t="e">
        <f t="shared" si="10"/>
        <v>#DIV/0!</v>
      </c>
      <c r="M92" s="56"/>
      <c r="N92" s="57"/>
      <c r="O92" s="58" t="b">
        <f t="shared" si="11"/>
        <v>0</v>
      </c>
      <c r="T92" s="85">
        <f>$U$37-$B$38/100</f>
        <v>0</v>
      </c>
      <c r="U92" s="28" t="e">
        <f>$X$37</f>
        <v>#DIV/0!</v>
      </c>
    </row>
    <row r="93" spans="5:21" ht="15" x14ac:dyDescent="0.2">
      <c r="E93" s="72">
        <v>1.00000000000001</v>
      </c>
      <c r="F93" s="73" t="e">
        <f t="shared" si="6"/>
        <v>#DIV/0!</v>
      </c>
      <c r="G93" s="73" t="e">
        <f t="shared" si="7"/>
        <v>#DIV/0!</v>
      </c>
      <c r="H93" s="73" t="e">
        <f t="shared" si="8"/>
        <v>#DIV/0!</v>
      </c>
      <c r="I93" s="73" t="e">
        <f t="shared" si="5"/>
        <v>#DIV/0!</v>
      </c>
      <c r="J93" s="73" t="e">
        <f t="shared" si="9"/>
        <v>#DIV/0!</v>
      </c>
      <c r="K93" s="73" t="e">
        <f t="shared" si="10"/>
        <v>#DIV/0!</v>
      </c>
      <c r="M93" s="56"/>
      <c r="N93" s="57"/>
      <c r="O93" s="58" t="b">
        <f t="shared" si="11"/>
        <v>0</v>
      </c>
      <c r="T93" s="85">
        <f>$U$37+$B$38/100</f>
        <v>0</v>
      </c>
      <c r="U93" s="28" t="e">
        <f>$X$38</f>
        <v>#DIV/0!</v>
      </c>
    </row>
    <row r="94" spans="5:21" ht="15" x14ac:dyDescent="0.2">
      <c r="E94" s="72">
        <v>1.2000000000000099</v>
      </c>
      <c r="F94" s="73" t="e">
        <f t="shared" si="6"/>
        <v>#DIV/0!</v>
      </c>
      <c r="G94" s="73" t="e">
        <f t="shared" si="7"/>
        <v>#DIV/0!</v>
      </c>
      <c r="H94" s="73" t="e">
        <f t="shared" si="8"/>
        <v>#DIV/0!</v>
      </c>
      <c r="I94" s="73" t="e">
        <f t="shared" si="5"/>
        <v>#DIV/0!</v>
      </c>
      <c r="J94" s="73" t="e">
        <f t="shared" si="9"/>
        <v>#DIV/0!</v>
      </c>
      <c r="K94" s="73" t="e">
        <f t="shared" si="10"/>
        <v>#DIV/0!</v>
      </c>
      <c r="M94" s="56"/>
      <c r="N94" s="57"/>
      <c r="O94" s="58" t="b">
        <f t="shared" si="11"/>
        <v>0</v>
      </c>
      <c r="T94" s="85">
        <f>$U$38-$B$38/100</f>
        <v>0</v>
      </c>
      <c r="U94" s="28" t="e">
        <f>$X$38</f>
        <v>#DIV/0!</v>
      </c>
    </row>
    <row r="95" spans="5:21" ht="15" x14ac:dyDescent="0.2">
      <c r="E95" s="72">
        <v>1.4000000000000099</v>
      </c>
      <c r="F95" s="73" t="e">
        <f t="shared" si="6"/>
        <v>#DIV/0!</v>
      </c>
      <c r="G95" s="73" t="e">
        <f t="shared" si="7"/>
        <v>#DIV/0!</v>
      </c>
      <c r="H95" s="73" t="e">
        <f t="shared" si="8"/>
        <v>#DIV/0!</v>
      </c>
      <c r="I95" s="73" t="e">
        <f t="shared" ref="I95:I113" si="12">H95-$B$26</f>
        <v>#DIV/0!</v>
      </c>
      <c r="J95" s="73" t="e">
        <f t="shared" si="9"/>
        <v>#DIV/0!</v>
      </c>
      <c r="K95" s="73" t="e">
        <f t="shared" si="10"/>
        <v>#DIV/0!</v>
      </c>
      <c r="M95" s="56"/>
      <c r="N95" s="57"/>
      <c r="O95" s="58" t="b">
        <f t="shared" si="11"/>
        <v>0</v>
      </c>
      <c r="T95" s="85">
        <f>$U$38+$B$38/100</f>
        <v>0</v>
      </c>
      <c r="U95" s="28" t="e">
        <f>$X$39</f>
        <v>#DIV/0!</v>
      </c>
    </row>
    <row r="96" spans="5:21" ht="15" x14ac:dyDescent="0.2">
      <c r="E96" s="72">
        <v>1.6000000000000101</v>
      </c>
      <c r="F96" s="73" t="e">
        <f t="shared" si="6"/>
        <v>#DIV/0!</v>
      </c>
      <c r="G96" s="73" t="e">
        <f t="shared" si="7"/>
        <v>#DIV/0!</v>
      </c>
      <c r="H96" s="73" t="e">
        <f t="shared" si="8"/>
        <v>#DIV/0!</v>
      </c>
      <c r="I96" s="73" t="e">
        <f t="shared" si="12"/>
        <v>#DIV/0!</v>
      </c>
      <c r="J96" s="73" t="e">
        <f t="shared" si="9"/>
        <v>#DIV/0!</v>
      </c>
      <c r="K96" s="73" t="e">
        <f t="shared" si="10"/>
        <v>#DIV/0!</v>
      </c>
      <c r="M96" s="56"/>
      <c r="N96" s="57"/>
      <c r="O96" s="58" t="b">
        <f t="shared" si="11"/>
        <v>0</v>
      </c>
      <c r="T96" s="85">
        <f>$U$39-$B$38/100</f>
        <v>0</v>
      </c>
      <c r="U96" s="28" t="e">
        <f>$X$39</f>
        <v>#DIV/0!</v>
      </c>
    </row>
    <row r="97" spans="5:21" ht="15" x14ac:dyDescent="0.2">
      <c r="E97" s="72">
        <v>1.80000000000001</v>
      </c>
      <c r="F97" s="73" t="e">
        <f t="shared" si="6"/>
        <v>#DIV/0!</v>
      </c>
      <c r="G97" s="73" t="e">
        <f t="shared" si="7"/>
        <v>#DIV/0!</v>
      </c>
      <c r="H97" s="73" t="e">
        <f t="shared" si="8"/>
        <v>#DIV/0!</v>
      </c>
      <c r="I97" s="73" t="e">
        <f t="shared" si="12"/>
        <v>#DIV/0!</v>
      </c>
      <c r="J97" s="73" t="e">
        <f t="shared" si="9"/>
        <v>#DIV/0!</v>
      </c>
      <c r="K97" s="73" t="e">
        <f t="shared" si="10"/>
        <v>#DIV/0!</v>
      </c>
      <c r="M97" s="56"/>
      <c r="N97" s="57"/>
      <c r="O97" s="58" t="b">
        <f t="shared" si="11"/>
        <v>0</v>
      </c>
      <c r="T97" s="85">
        <f>$U$39+$B$38/100</f>
        <v>0</v>
      </c>
      <c r="U97" s="28" t="e">
        <f>$X$40</f>
        <v>#DIV/0!</v>
      </c>
    </row>
    <row r="98" spans="5:21" ht="15" x14ac:dyDescent="0.2">
      <c r="E98" s="72">
        <v>2.0000000000000102</v>
      </c>
      <c r="F98" s="73" t="e">
        <f t="shared" si="6"/>
        <v>#DIV/0!</v>
      </c>
      <c r="G98" s="73" t="e">
        <f t="shared" si="7"/>
        <v>#DIV/0!</v>
      </c>
      <c r="H98" s="73" t="e">
        <f t="shared" si="8"/>
        <v>#DIV/0!</v>
      </c>
      <c r="I98" s="73" t="e">
        <f t="shared" si="12"/>
        <v>#DIV/0!</v>
      </c>
      <c r="J98" s="73" t="e">
        <f t="shared" si="9"/>
        <v>#DIV/0!</v>
      </c>
      <c r="K98" s="73" t="e">
        <f t="shared" si="10"/>
        <v>#DIV/0!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 t="e">
        <f t="shared" si="6"/>
        <v>#DIV/0!</v>
      </c>
      <c r="G99" s="73" t="e">
        <f t="shared" si="7"/>
        <v>#DIV/0!</v>
      </c>
      <c r="H99" s="73" t="e">
        <f t="shared" si="8"/>
        <v>#DIV/0!</v>
      </c>
      <c r="I99" s="73" t="e">
        <f t="shared" si="12"/>
        <v>#DIV/0!</v>
      </c>
      <c r="J99" s="73" t="e">
        <f t="shared" si="9"/>
        <v>#DIV/0!</v>
      </c>
      <c r="K99" s="73" t="e">
        <f t="shared" si="10"/>
        <v>#DIV/0!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 t="e">
        <f t="shared" si="6"/>
        <v>#DIV/0!</v>
      </c>
      <c r="G100" s="73" t="e">
        <f t="shared" si="7"/>
        <v>#DIV/0!</v>
      </c>
      <c r="H100" s="73" t="e">
        <f t="shared" si="8"/>
        <v>#DIV/0!</v>
      </c>
      <c r="I100" s="73" t="e">
        <f t="shared" si="12"/>
        <v>#DIV/0!</v>
      </c>
      <c r="J100" s="73" t="e">
        <f t="shared" si="9"/>
        <v>#DIV/0!</v>
      </c>
      <c r="K100" s="73" t="e">
        <f t="shared" si="10"/>
        <v>#DIV/0!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 t="e">
        <f t="shared" si="6"/>
        <v>#DIV/0!</v>
      </c>
      <c r="G101" s="73" t="e">
        <f t="shared" si="7"/>
        <v>#DIV/0!</v>
      </c>
      <c r="H101" s="73" t="e">
        <f t="shared" si="8"/>
        <v>#DIV/0!</v>
      </c>
      <c r="I101" s="73" t="e">
        <f t="shared" si="12"/>
        <v>#DIV/0!</v>
      </c>
      <c r="J101" s="73" t="e">
        <f t="shared" si="9"/>
        <v>#DIV/0!</v>
      </c>
      <c r="K101" s="73" t="e">
        <f t="shared" si="10"/>
        <v>#DIV/0!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 t="e">
        <f t="shared" si="6"/>
        <v>#DIV/0!</v>
      </c>
      <c r="G102" s="73" t="e">
        <f t="shared" si="7"/>
        <v>#DIV/0!</v>
      </c>
      <c r="H102" s="73" t="e">
        <f t="shared" si="8"/>
        <v>#DIV/0!</v>
      </c>
      <c r="I102" s="73" t="e">
        <f t="shared" si="12"/>
        <v>#DIV/0!</v>
      </c>
      <c r="J102" s="73" t="e">
        <f t="shared" si="9"/>
        <v>#DIV/0!</v>
      </c>
      <c r="K102" s="73" t="e">
        <f t="shared" si="10"/>
        <v>#DIV/0!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 t="e">
        <f t="shared" si="6"/>
        <v>#DIV/0!</v>
      </c>
      <c r="G103" s="73" t="e">
        <f t="shared" si="7"/>
        <v>#DIV/0!</v>
      </c>
      <c r="H103" s="73" t="e">
        <f t="shared" si="8"/>
        <v>#DIV/0!</v>
      </c>
      <c r="I103" s="73" t="e">
        <f t="shared" si="12"/>
        <v>#DIV/0!</v>
      </c>
      <c r="J103" s="73" t="e">
        <f t="shared" si="9"/>
        <v>#DIV/0!</v>
      </c>
      <c r="K103" s="73" t="e">
        <f t="shared" si="10"/>
        <v>#DIV/0!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 t="e">
        <f t="shared" si="6"/>
        <v>#DIV/0!</v>
      </c>
      <c r="G104" s="73" t="e">
        <f t="shared" si="7"/>
        <v>#DIV/0!</v>
      </c>
      <c r="H104" s="73" t="e">
        <f t="shared" si="8"/>
        <v>#DIV/0!</v>
      </c>
      <c r="I104" s="73" t="e">
        <f t="shared" si="12"/>
        <v>#DIV/0!</v>
      </c>
      <c r="J104" s="73" t="e">
        <f t="shared" si="9"/>
        <v>#DIV/0!</v>
      </c>
      <c r="K104" s="73" t="e">
        <f t="shared" si="10"/>
        <v>#DIV/0!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 t="e">
        <f t="shared" si="6"/>
        <v>#DIV/0!</v>
      </c>
      <c r="G105" s="73" t="e">
        <f t="shared" si="7"/>
        <v>#DIV/0!</v>
      </c>
      <c r="H105" s="73" t="e">
        <f t="shared" si="8"/>
        <v>#DIV/0!</v>
      </c>
      <c r="I105" s="73" t="e">
        <f t="shared" si="12"/>
        <v>#DIV/0!</v>
      </c>
      <c r="J105" s="73" t="e">
        <f t="shared" si="9"/>
        <v>#DIV/0!</v>
      </c>
      <c r="K105" s="73" t="e">
        <f t="shared" si="10"/>
        <v>#DIV/0!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 t="e">
        <f t="shared" si="6"/>
        <v>#DIV/0!</v>
      </c>
      <c r="G106" s="73" t="e">
        <f t="shared" si="7"/>
        <v>#DIV/0!</v>
      </c>
      <c r="H106" s="73" t="e">
        <f t="shared" si="8"/>
        <v>#DIV/0!</v>
      </c>
      <c r="I106" s="73" t="e">
        <f t="shared" si="12"/>
        <v>#DIV/0!</v>
      </c>
      <c r="J106" s="73" t="e">
        <f t="shared" si="9"/>
        <v>#DIV/0!</v>
      </c>
      <c r="K106" s="73" t="e">
        <f t="shared" si="10"/>
        <v>#DIV/0!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 t="e">
        <f t="shared" si="6"/>
        <v>#DIV/0!</v>
      </c>
      <c r="G107" s="73" t="e">
        <f t="shared" si="7"/>
        <v>#DIV/0!</v>
      </c>
      <c r="H107" s="73" t="e">
        <f t="shared" si="8"/>
        <v>#DIV/0!</v>
      </c>
      <c r="I107" s="73" t="e">
        <f t="shared" si="12"/>
        <v>#DIV/0!</v>
      </c>
      <c r="J107" s="73" t="e">
        <f t="shared" si="9"/>
        <v>#DIV/0!</v>
      </c>
      <c r="K107" s="73" t="e">
        <f t="shared" si="10"/>
        <v>#DIV/0!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 t="e">
        <f t="shared" si="6"/>
        <v>#DIV/0!</v>
      </c>
      <c r="G108" s="73" t="e">
        <f t="shared" si="7"/>
        <v>#DIV/0!</v>
      </c>
      <c r="H108" s="73" t="e">
        <f t="shared" si="8"/>
        <v>#DIV/0!</v>
      </c>
      <c r="I108" s="73" t="e">
        <f t="shared" si="12"/>
        <v>#DIV/0!</v>
      </c>
      <c r="J108" s="73" t="e">
        <f t="shared" si="9"/>
        <v>#DIV/0!</v>
      </c>
      <c r="K108" s="73" t="e">
        <f t="shared" si="10"/>
        <v>#DIV/0!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 t="e">
        <f t="shared" si="6"/>
        <v>#DIV/0!</v>
      </c>
      <c r="G109" s="73" t="e">
        <f t="shared" si="7"/>
        <v>#DIV/0!</v>
      </c>
      <c r="H109" s="73" t="e">
        <f t="shared" si="8"/>
        <v>#DIV/0!</v>
      </c>
      <c r="I109" s="73" t="e">
        <f t="shared" si="12"/>
        <v>#DIV/0!</v>
      </c>
      <c r="J109" s="73" t="e">
        <f t="shared" si="9"/>
        <v>#DIV/0!</v>
      </c>
      <c r="K109" s="73" t="e">
        <f t="shared" si="10"/>
        <v>#DIV/0!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 t="e">
        <f t="shared" si="6"/>
        <v>#DIV/0!</v>
      </c>
      <c r="G110" s="73" t="e">
        <f t="shared" si="7"/>
        <v>#DIV/0!</v>
      </c>
      <c r="H110" s="73" t="e">
        <f t="shared" si="8"/>
        <v>#DIV/0!</v>
      </c>
      <c r="I110" s="73" t="e">
        <f t="shared" si="12"/>
        <v>#DIV/0!</v>
      </c>
      <c r="J110" s="73" t="e">
        <f t="shared" si="9"/>
        <v>#DIV/0!</v>
      </c>
      <c r="K110" s="73" t="e">
        <f t="shared" si="10"/>
        <v>#DIV/0!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 t="e">
        <f t="shared" si="6"/>
        <v>#DIV/0!</v>
      </c>
      <c r="G111" s="73" t="e">
        <f t="shared" si="7"/>
        <v>#DIV/0!</v>
      </c>
      <c r="H111" s="73" t="e">
        <f t="shared" si="8"/>
        <v>#DIV/0!</v>
      </c>
      <c r="I111" s="73" t="e">
        <f t="shared" si="12"/>
        <v>#DIV/0!</v>
      </c>
      <c r="J111" s="73" t="e">
        <f t="shared" si="9"/>
        <v>#DIV/0!</v>
      </c>
      <c r="K111" s="73" t="e">
        <f t="shared" si="10"/>
        <v>#DIV/0!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 t="e">
        <f t="shared" si="6"/>
        <v>#DIV/0!</v>
      </c>
      <c r="G112" s="73" t="e">
        <f t="shared" si="7"/>
        <v>#DIV/0!</v>
      </c>
      <c r="H112" s="73" t="e">
        <f t="shared" si="8"/>
        <v>#DIV/0!</v>
      </c>
      <c r="I112" s="73" t="e">
        <f t="shared" si="12"/>
        <v>#DIV/0!</v>
      </c>
      <c r="J112" s="73" t="e">
        <f t="shared" si="9"/>
        <v>#DIV/0!</v>
      </c>
      <c r="K112" s="73" t="e">
        <f t="shared" si="10"/>
        <v>#DIV/0!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 t="e">
        <f t="shared" si="6"/>
        <v>#DIV/0!</v>
      </c>
      <c r="G113" s="73" t="e">
        <f t="shared" si="7"/>
        <v>#DIV/0!</v>
      </c>
      <c r="H113" s="73" t="e">
        <f t="shared" si="8"/>
        <v>#DIV/0!</v>
      </c>
      <c r="I113" s="73" t="e">
        <f t="shared" si="12"/>
        <v>#DIV/0!</v>
      </c>
      <c r="J113" s="73" t="e">
        <f t="shared" si="9"/>
        <v>#DIV/0!</v>
      </c>
      <c r="K113" s="73" t="e">
        <f t="shared" si="10"/>
        <v>#DIV/0!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6" t="s">
        <v>37</v>
      </c>
      <c r="G118" s="87" t="e">
        <f>CORREL($N$3:$N$252,$M$3:$M$252)</f>
        <v>#DIV/0!</v>
      </c>
      <c r="H118" s="88"/>
      <c r="I118" s="88"/>
      <c r="J118" s="88"/>
      <c r="M118" s="56"/>
      <c r="N118" s="57"/>
      <c r="O118" s="58" t="b">
        <f t="shared" si="11"/>
        <v>0</v>
      </c>
    </row>
    <row r="119" spans="5:15" ht="15" x14ac:dyDescent="0.2">
      <c r="F119" s="66" t="s">
        <v>38</v>
      </c>
      <c r="G119" s="76" t="e">
        <f>INTERCEPT($N$3:$N$252,$M$3:$M$252)</f>
        <v>#DIV/0!</v>
      </c>
      <c r="H119" s="88"/>
      <c r="I119" s="88"/>
      <c r="J119" s="88"/>
      <c r="M119" s="56"/>
      <c r="N119" s="57"/>
      <c r="O119" s="58" t="b">
        <f t="shared" si="11"/>
        <v>0</v>
      </c>
    </row>
    <row r="120" spans="5:15" ht="15" x14ac:dyDescent="0.2">
      <c r="F120" s="66" t="s">
        <v>39</v>
      </c>
      <c r="G120" s="76" t="e">
        <f>SLOPE($N$3:$N$252,$M$3:$M$252)</f>
        <v>#DIV/0!</v>
      </c>
      <c r="H120" s="66" t="s">
        <v>50</v>
      </c>
      <c r="I120" s="76" t="b">
        <f>IF($B$9&gt;3,INDEX(XX!$C$4:$C$150,$B$9))</f>
        <v>0</v>
      </c>
      <c r="J120" s="76" t="b">
        <f>IF($B$9&gt;3,INDEX(XX!$D$4:$D$150,$B$9))</f>
        <v>0</v>
      </c>
      <c r="M120" s="56"/>
      <c r="N120" s="57"/>
      <c r="O120" s="58" t="b">
        <f t="shared" si="11"/>
        <v>0</v>
      </c>
    </row>
    <row r="121" spans="5:15" ht="15" x14ac:dyDescent="0.2">
      <c r="F121" s="88"/>
      <c r="G121" s="88"/>
      <c r="H121" s="66" t="s">
        <v>51</v>
      </c>
      <c r="I121" s="66" t="s">
        <v>52</v>
      </c>
      <c r="J121" s="66" t="s">
        <v>53</v>
      </c>
      <c r="M121" s="56"/>
      <c r="N121" s="57"/>
      <c r="O121" s="58" t="b">
        <f t="shared" si="11"/>
        <v>0</v>
      </c>
    </row>
    <row r="122" spans="5:15" ht="15" x14ac:dyDescent="0.2">
      <c r="F122" s="66" t="s">
        <v>40</v>
      </c>
      <c r="G122" s="89">
        <f>MIN($N$3:$N$252)</f>
        <v>0</v>
      </c>
      <c r="H122" s="88"/>
      <c r="I122" s="76" t="e">
        <f>IF((ABS($G$118)&gt;$I$120)*AND(ABS($G$118)&lt;$J$120),G$119+G$120*G122,0)</f>
        <v>#DIV/0!</v>
      </c>
      <c r="J122" s="76" t="e">
        <f>IF((ABS($G$118)&gt;$J$120),G$119+G$120*G122,0)</f>
        <v>#DIV/0!</v>
      </c>
      <c r="M122" s="56"/>
      <c r="N122" s="57"/>
      <c r="O122" s="58" t="b">
        <f t="shared" si="11"/>
        <v>0</v>
      </c>
    </row>
    <row r="123" spans="5:15" ht="15" x14ac:dyDescent="0.2">
      <c r="F123" s="66" t="s">
        <v>41</v>
      </c>
      <c r="G123" s="89">
        <f>MAX($M$3:$M$252)</f>
        <v>0</v>
      </c>
      <c r="H123" s="88"/>
      <c r="I123" s="76" t="e">
        <f>IF((ABS($G$118)&gt;$I$120)*AND(ABS($G$118)&lt;$J$120),G$119+G$120*G123,0)</f>
        <v>#DIV/0!</v>
      </c>
      <c r="J123" s="76" t="e">
        <f>IF((ABS($G$118)&gt;$J$120),G$119+G$120*G123,0)</f>
        <v>#DIV/0!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3">IF($N131&gt;0,LN($N131+$B$26))</f>
        <v>0</v>
      </c>
    </row>
    <row r="132" spans="13:15" ht="15" x14ac:dyDescent="0.2">
      <c r="M132" s="56"/>
      <c r="N132" s="57"/>
      <c r="O132" s="58" t="b">
        <f t="shared" si="13"/>
        <v>0</v>
      </c>
    </row>
    <row r="133" spans="13:15" ht="15" x14ac:dyDescent="0.2">
      <c r="M133" s="56"/>
      <c r="N133" s="57"/>
      <c r="O133" s="58" t="b">
        <f t="shared" si="13"/>
        <v>0</v>
      </c>
    </row>
    <row r="134" spans="13:15" ht="15" x14ac:dyDescent="0.2">
      <c r="M134" s="56"/>
      <c r="N134" s="57"/>
      <c r="O134" s="58" t="b">
        <f t="shared" si="13"/>
        <v>0</v>
      </c>
    </row>
    <row r="135" spans="13:15" ht="15" x14ac:dyDescent="0.2">
      <c r="M135" s="56"/>
      <c r="N135" s="57"/>
      <c r="O135" s="58" t="b">
        <f t="shared" si="13"/>
        <v>0</v>
      </c>
    </row>
    <row r="136" spans="13:15" ht="15" x14ac:dyDescent="0.2">
      <c r="M136" s="56"/>
      <c r="N136" s="57"/>
      <c r="O136" s="58" t="b">
        <f t="shared" si="13"/>
        <v>0</v>
      </c>
    </row>
    <row r="137" spans="13:15" ht="15" x14ac:dyDescent="0.2">
      <c r="M137" s="56"/>
      <c r="N137" s="57"/>
      <c r="O137" s="58" t="b">
        <f t="shared" si="13"/>
        <v>0</v>
      </c>
    </row>
    <row r="138" spans="13:15" ht="15" x14ac:dyDescent="0.2">
      <c r="M138" s="56"/>
      <c r="N138" s="57"/>
      <c r="O138" s="58" t="b">
        <f t="shared" si="13"/>
        <v>0</v>
      </c>
    </row>
    <row r="139" spans="13:15" ht="15" x14ac:dyDescent="0.2">
      <c r="M139" s="56"/>
      <c r="N139" s="57"/>
      <c r="O139" s="58" t="b">
        <f t="shared" si="13"/>
        <v>0</v>
      </c>
    </row>
    <row r="140" spans="13:15" ht="15" x14ac:dyDescent="0.2">
      <c r="M140" s="56"/>
      <c r="N140" s="57"/>
      <c r="O140" s="58" t="b">
        <f t="shared" si="13"/>
        <v>0</v>
      </c>
    </row>
    <row r="141" spans="13:15" ht="15" x14ac:dyDescent="0.2">
      <c r="M141" s="56"/>
      <c r="N141" s="57"/>
      <c r="O141" s="58" t="b">
        <f t="shared" si="13"/>
        <v>0</v>
      </c>
    </row>
    <row r="142" spans="13:15" ht="15" x14ac:dyDescent="0.2">
      <c r="M142" s="56"/>
      <c r="N142" s="57"/>
      <c r="O142" s="58" t="b">
        <f t="shared" si="13"/>
        <v>0</v>
      </c>
    </row>
    <row r="143" spans="13:15" ht="15" x14ac:dyDescent="0.2">
      <c r="M143" s="56"/>
      <c r="N143" s="57"/>
      <c r="O143" s="58" t="b">
        <f t="shared" si="13"/>
        <v>0</v>
      </c>
    </row>
    <row r="144" spans="13:15" ht="15" x14ac:dyDescent="0.2">
      <c r="M144" s="56"/>
      <c r="N144" s="57"/>
      <c r="O144" s="58" t="b">
        <f t="shared" si="13"/>
        <v>0</v>
      </c>
    </row>
    <row r="145" spans="13:15" ht="15" x14ac:dyDescent="0.2">
      <c r="M145" s="56"/>
      <c r="N145" s="57"/>
      <c r="O145" s="58" t="b">
        <f t="shared" si="13"/>
        <v>0</v>
      </c>
    </row>
    <row r="146" spans="13:15" ht="15" x14ac:dyDescent="0.2">
      <c r="M146" s="56"/>
      <c r="N146" s="57"/>
      <c r="O146" s="58" t="b">
        <f t="shared" si="13"/>
        <v>0</v>
      </c>
    </row>
    <row r="147" spans="13:15" ht="15" x14ac:dyDescent="0.2">
      <c r="M147" s="56"/>
      <c r="N147" s="57"/>
      <c r="O147" s="58" t="b">
        <f t="shared" si="13"/>
        <v>0</v>
      </c>
    </row>
    <row r="148" spans="13:15" ht="15" x14ac:dyDescent="0.2">
      <c r="M148" s="56"/>
      <c r="N148" s="57"/>
      <c r="O148" s="58" t="b">
        <f t="shared" si="13"/>
        <v>0</v>
      </c>
    </row>
    <row r="149" spans="13:15" ht="15" x14ac:dyDescent="0.2">
      <c r="M149" s="56"/>
      <c r="N149" s="57"/>
      <c r="O149" s="58" t="b">
        <f t="shared" si="13"/>
        <v>0</v>
      </c>
    </row>
    <row r="150" spans="13:15" ht="15" x14ac:dyDescent="0.2">
      <c r="M150" s="56"/>
      <c r="N150" s="57"/>
      <c r="O150" s="58" t="b">
        <f t="shared" si="13"/>
        <v>0</v>
      </c>
    </row>
    <row r="151" spans="13:15" ht="15" x14ac:dyDescent="0.2">
      <c r="M151" s="56"/>
      <c r="N151" s="57"/>
      <c r="O151" s="58" t="b">
        <f t="shared" si="13"/>
        <v>0</v>
      </c>
    </row>
    <row r="152" spans="13:15" ht="15" x14ac:dyDescent="0.2">
      <c r="M152" s="56"/>
      <c r="N152" s="57"/>
      <c r="O152" s="58" t="b">
        <f t="shared" si="13"/>
        <v>0</v>
      </c>
    </row>
    <row r="153" spans="13:15" ht="15" x14ac:dyDescent="0.2">
      <c r="M153" s="56"/>
      <c r="N153" s="57"/>
      <c r="O153" s="58" t="b">
        <f t="shared" si="13"/>
        <v>0</v>
      </c>
    </row>
    <row r="154" spans="13:15" ht="15" x14ac:dyDescent="0.2">
      <c r="M154" s="56"/>
      <c r="N154" s="57"/>
      <c r="O154" s="58" t="b">
        <f t="shared" si="13"/>
        <v>0</v>
      </c>
    </row>
    <row r="155" spans="13:15" ht="15" x14ac:dyDescent="0.2">
      <c r="M155" s="56"/>
      <c r="N155" s="57"/>
      <c r="O155" s="58" t="b">
        <f t="shared" si="13"/>
        <v>0</v>
      </c>
    </row>
    <row r="156" spans="13:15" ht="15" x14ac:dyDescent="0.2">
      <c r="M156" s="56"/>
      <c r="N156" s="57"/>
      <c r="O156" s="58" t="b">
        <f t="shared" si="13"/>
        <v>0</v>
      </c>
    </row>
    <row r="157" spans="13:15" ht="15" x14ac:dyDescent="0.2">
      <c r="M157" s="56"/>
      <c r="N157" s="57"/>
      <c r="O157" s="58" t="b">
        <f t="shared" si="13"/>
        <v>0</v>
      </c>
    </row>
    <row r="158" spans="13:15" ht="15" x14ac:dyDescent="0.2">
      <c r="M158" s="56"/>
      <c r="N158" s="57"/>
      <c r="O158" s="58" t="b">
        <f t="shared" si="13"/>
        <v>0</v>
      </c>
    </row>
    <row r="159" spans="13:15" ht="15" x14ac:dyDescent="0.2">
      <c r="M159" s="56"/>
      <c r="N159" s="57"/>
      <c r="O159" s="58" t="b">
        <f t="shared" si="13"/>
        <v>0</v>
      </c>
    </row>
    <row r="160" spans="13:15" ht="15" x14ac:dyDescent="0.2">
      <c r="M160" s="56"/>
      <c r="N160" s="57"/>
      <c r="O160" s="58" t="b">
        <f t="shared" si="13"/>
        <v>0</v>
      </c>
    </row>
    <row r="161" spans="13:15" ht="15" x14ac:dyDescent="0.2">
      <c r="M161" s="56"/>
      <c r="N161" s="57"/>
      <c r="O161" s="58" t="b">
        <f t="shared" si="13"/>
        <v>0</v>
      </c>
    </row>
    <row r="162" spans="13:15" ht="15" x14ac:dyDescent="0.2">
      <c r="M162" s="56"/>
      <c r="N162" s="57"/>
      <c r="O162" s="58" t="b">
        <f t="shared" si="13"/>
        <v>0</v>
      </c>
    </row>
    <row r="163" spans="13:15" ht="15" x14ac:dyDescent="0.2">
      <c r="M163" s="56"/>
      <c r="N163" s="57"/>
      <c r="O163" s="58" t="b">
        <f t="shared" si="13"/>
        <v>0</v>
      </c>
    </row>
    <row r="164" spans="13:15" ht="15" x14ac:dyDescent="0.2">
      <c r="M164" s="56"/>
      <c r="N164" s="57"/>
      <c r="O164" s="58" t="b">
        <f t="shared" si="13"/>
        <v>0</v>
      </c>
    </row>
    <row r="165" spans="13:15" ht="15" x14ac:dyDescent="0.2">
      <c r="M165" s="56"/>
      <c r="N165" s="57"/>
      <c r="O165" s="58" t="b">
        <f t="shared" si="13"/>
        <v>0</v>
      </c>
    </row>
    <row r="166" spans="13:15" ht="15" x14ac:dyDescent="0.2">
      <c r="M166" s="56"/>
      <c r="N166" s="57"/>
      <c r="O166" s="58" t="b">
        <f t="shared" si="13"/>
        <v>0</v>
      </c>
    </row>
    <row r="167" spans="13:15" ht="15" x14ac:dyDescent="0.2">
      <c r="M167" s="56"/>
      <c r="N167" s="57"/>
      <c r="O167" s="58" t="b">
        <f t="shared" si="13"/>
        <v>0</v>
      </c>
    </row>
    <row r="168" spans="13:15" ht="15" x14ac:dyDescent="0.2">
      <c r="M168" s="56"/>
      <c r="N168" s="57"/>
      <c r="O168" s="58" t="b">
        <f t="shared" si="13"/>
        <v>0</v>
      </c>
    </row>
    <row r="169" spans="13:15" ht="15" x14ac:dyDescent="0.2">
      <c r="M169" s="56"/>
      <c r="N169" s="57"/>
      <c r="O169" s="58" t="b">
        <f t="shared" si="13"/>
        <v>0</v>
      </c>
    </row>
    <row r="170" spans="13:15" ht="15" x14ac:dyDescent="0.2">
      <c r="M170" s="56"/>
      <c r="N170" s="57"/>
      <c r="O170" s="58" t="b">
        <f t="shared" si="13"/>
        <v>0</v>
      </c>
    </row>
    <row r="171" spans="13:15" ht="15" x14ac:dyDescent="0.2">
      <c r="M171" s="56"/>
      <c r="N171" s="57"/>
      <c r="O171" s="58" t="b">
        <f t="shared" si="13"/>
        <v>0</v>
      </c>
    </row>
    <row r="172" spans="13:15" ht="15" x14ac:dyDescent="0.2">
      <c r="M172" s="56"/>
      <c r="N172" s="57"/>
      <c r="O172" s="58" t="b">
        <f t="shared" si="13"/>
        <v>0</v>
      </c>
    </row>
    <row r="173" spans="13:15" ht="15" x14ac:dyDescent="0.2">
      <c r="M173" s="56"/>
      <c r="N173" s="57"/>
      <c r="O173" s="58" t="b">
        <f t="shared" si="13"/>
        <v>0</v>
      </c>
    </row>
    <row r="174" spans="13:15" ht="15" x14ac:dyDescent="0.2">
      <c r="M174" s="56"/>
      <c r="N174" s="57"/>
      <c r="O174" s="58" t="b">
        <f t="shared" si="13"/>
        <v>0</v>
      </c>
    </row>
    <row r="175" spans="13:15" ht="15" x14ac:dyDescent="0.2">
      <c r="M175" s="56"/>
      <c r="N175" s="57"/>
      <c r="O175" s="58" t="b">
        <f t="shared" si="13"/>
        <v>0</v>
      </c>
    </row>
    <row r="176" spans="13:15" ht="15" x14ac:dyDescent="0.2">
      <c r="M176" s="56"/>
      <c r="N176" s="57"/>
      <c r="O176" s="58" t="b">
        <f t="shared" si="13"/>
        <v>0</v>
      </c>
    </row>
    <row r="177" spans="13:15" ht="15" x14ac:dyDescent="0.2">
      <c r="M177" s="56"/>
      <c r="N177" s="57"/>
      <c r="O177" s="58" t="b">
        <f t="shared" si="13"/>
        <v>0</v>
      </c>
    </row>
    <row r="178" spans="13:15" ht="15" x14ac:dyDescent="0.2">
      <c r="M178" s="56"/>
      <c r="N178" s="57"/>
      <c r="O178" s="58" t="b">
        <f t="shared" si="13"/>
        <v>0</v>
      </c>
    </row>
    <row r="179" spans="13:15" ht="15" x14ac:dyDescent="0.2">
      <c r="M179" s="56"/>
      <c r="N179" s="57"/>
      <c r="O179" s="58" t="b">
        <f t="shared" si="13"/>
        <v>0</v>
      </c>
    </row>
    <row r="180" spans="13:15" ht="15" x14ac:dyDescent="0.2">
      <c r="M180" s="56"/>
      <c r="N180" s="57"/>
      <c r="O180" s="58" t="b">
        <f t="shared" si="13"/>
        <v>0</v>
      </c>
    </row>
    <row r="181" spans="13:15" ht="15" x14ac:dyDescent="0.2">
      <c r="M181" s="56"/>
      <c r="N181" s="57"/>
      <c r="O181" s="58" t="b">
        <f t="shared" si="13"/>
        <v>0</v>
      </c>
    </row>
    <row r="182" spans="13:15" ht="15" x14ac:dyDescent="0.2">
      <c r="M182" s="56"/>
      <c r="N182" s="57"/>
      <c r="O182" s="58" t="b">
        <f t="shared" si="13"/>
        <v>0</v>
      </c>
    </row>
    <row r="183" spans="13:15" ht="15" x14ac:dyDescent="0.2">
      <c r="M183" s="56"/>
      <c r="N183" s="57"/>
      <c r="O183" s="58" t="b">
        <f t="shared" si="13"/>
        <v>0</v>
      </c>
    </row>
    <row r="184" spans="13:15" ht="15" x14ac:dyDescent="0.2">
      <c r="M184" s="56"/>
      <c r="N184" s="57"/>
      <c r="O184" s="58" t="b">
        <f t="shared" si="13"/>
        <v>0</v>
      </c>
    </row>
    <row r="185" spans="13:15" ht="15" x14ac:dyDescent="0.2">
      <c r="M185" s="56"/>
      <c r="N185" s="57"/>
      <c r="O185" s="58" t="b">
        <f t="shared" si="13"/>
        <v>0</v>
      </c>
    </row>
    <row r="186" spans="13:15" ht="15" x14ac:dyDescent="0.2">
      <c r="M186" s="56"/>
      <c r="N186" s="57"/>
      <c r="O186" s="58" t="b">
        <f t="shared" si="13"/>
        <v>0</v>
      </c>
    </row>
    <row r="187" spans="13:15" ht="15" x14ac:dyDescent="0.2">
      <c r="M187" s="56"/>
      <c r="N187" s="57"/>
      <c r="O187" s="58" t="b">
        <f t="shared" si="13"/>
        <v>0</v>
      </c>
    </row>
    <row r="188" spans="13:15" ht="15" x14ac:dyDescent="0.2">
      <c r="M188" s="56"/>
      <c r="N188" s="57"/>
      <c r="O188" s="58" t="b">
        <f t="shared" si="13"/>
        <v>0</v>
      </c>
    </row>
    <row r="189" spans="13:15" ht="15" x14ac:dyDescent="0.2">
      <c r="M189" s="56"/>
      <c r="N189" s="57"/>
      <c r="O189" s="58" t="b">
        <f t="shared" si="13"/>
        <v>0</v>
      </c>
    </row>
    <row r="190" spans="13:15" ht="15" x14ac:dyDescent="0.2">
      <c r="M190" s="56"/>
      <c r="N190" s="57"/>
      <c r="O190" s="58" t="b">
        <f t="shared" si="13"/>
        <v>0</v>
      </c>
    </row>
    <row r="191" spans="13:15" ht="15" x14ac:dyDescent="0.2">
      <c r="M191" s="56"/>
      <c r="N191" s="57"/>
      <c r="O191" s="58" t="b">
        <f t="shared" si="13"/>
        <v>0</v>
      </c>
    </row>
    <row r="192" spans="13:15" ht="15" x14ac:dyDescent="0.2">
      <c r="M192" s="56"/>
      <c r="N192" s="57"/>
      <c r="O192" s="58" t="b">
        <f t="shared" si="13"/>
        <v>0</v>
      </c>
    </row>
    <row r="193" spans="13:15" ht="15" x14ac:dyDescent="0.2">
      <c r="M193" s="56"/>
      <c r="N193" s="57"/>
      <c r="O193" s="58" t="b">
        <f t="shared" si="13"/>
        <v>0</v>
      </c>
    </row>
    <row r="194" spans="13:15" ht="15" x14ac:dyDescent="0.2">
      <c r="M194" s="56"/>
      <c r="N194" s="57"/>
      <c r="O194" s="58" t="b">
        <f t="shared" si="13"/>
        <v>0</v>
      </c>
    </row>
    <row r="195" spans="13:15" ht="15" x14ac:dyDescent="0.2">
      <c r="M195" s="56"/>
      <c r="N195" s="57"/>
      <c r="O195" s="58" t="b">
        <f t="shared" ref="O195:O252" si="14">IF($N195&gt;0,LN($N195+$B$26))</f>
        <v>0</v>
      </c>
    </row>
    <row r="196" spans="13:15" ht="15" x14ac:dyDescent="0.2">
      <c r="M196" s="56"/>
      <c r="N196" s="57"/>
      <c r="O196" s="58" t="b">
        <f t="shared" si="14"/>
        <v>0</v>
      </c>
    </row>
    <row r="197" spans="13:15" ht="15" x14ac:dyDescent="0.2">
      <c r="M197" s="56"/>
      <c r="N197" s="57"/>
      <c r="O197" s="58" t="b">
        <f t="shared" si="14"/>
        <v>0</v>
      </c>
    </row>
    <row r="198" spans="13:15" ht="15" x14ac:dyDescent="0.2">
      <c r="M198" s="56"/>
      <c r="N198" s="57"/>
      <c r="O198" s="58" t="b">
        <f t="shared" si="14"/>
        <v>0</v>
      </c>
    </row>
    <row r="199" spans="13:15" ht="15" x14ac:dyDescent="0.2">
      <c r="M199" s="56"/>
      <c r="N199" s="57"/>
      <c r="O199" s="58" t="b">
        <f t="shared" si="14"/>
        <v>0</v>
      </c>
    </row>
    <row r="200" spans="13:15" ht="15" x14ac:dyDescent="0.2">
      <c r="M200" s="56"/>
      <c r="N200" s="57"/>
      <c r="O200" s="58" t="b">
        <f t="shared" si="14"/>
        <v>0</v>
      </c>
    </row>
    <row r="201" spans="13:15" ht="15" x14ac:dyDescent="0.2">
      <c r="M201" s="56"/>
      <c r="N201" s="57"/>
      <c r="O201" s="58" t="b">
        <f t="shared" si="14"/>
        <v>0</v>
      </c>
    </row>
    <row r="202" spans="13:15" ht="15" x14ac:dyDescent="0.2">
      <c r="M202" s="56"/>
      <c r="N202" s="57"/>
      <c r="O202" s="58" t="b">
        <f t="shared" si="14"/>
        <v>0</v>
      </c>
    </row>
    <row r="203" spans="13:15" ht="15" x14ac:dyDescent="0.2">
      <c r="M203" s="56"/>
      <c r="N203" s="57"/>
      <c r="O203" s="58" t="b">
        <f t="shared" si="14"/>
        <v>0</v>
      </c>
    </row>
    <row r="204" spans="13:15" ht="15" x14ac:dyDescent="0.2">
      <c r="M204" s="56"/>
      <c r="N204" s="57"/>
      <c r="O204" s="58" t="b">
        <f t="shared" si="14"/>
        <v>0</v>
      </c>
    </row>
    <row r="205" spans="13:15" ht="15" x14ac:dyDescent="0.2">
      <c r="M205" s="56"/>
      <c r="N205" s="57"/>
      <c r="O205" s="58" t="b">
        <f t="shared" si="14"/>
        <v>0</v>
      </c>
    </row>
    <row r="206" spans="13:15" ht="15" x14ac:dyDescent="0.2">
      <c r="M206" s="56"/>
      <c r="N206" s="57"/>
      <c r="O206" s="58" t="b">
        <f t="shared" si="14"/>
        <v>0</v>
      </c>
    </row>
    <row r="207" spans="13:15" ht="15" x14ac:dyDescent="0.2">
      <c r="M207" s="56"/>
      <c r="N207" s="57"/>
      <c r="O207" s="58" t="b">
        <f t="shared" si="14"/>
        <v>0</v>
      </c>
    </row>
    <row r="208" spans="13:15" ht="15" x14ac:dyDescent="0.2">
      <c r="M208" s="56"/>
      <c r="N208" s="57"/>
      <c r="O208" s="58" t="b">
        <f t="shared" si="14"/>
        <v>0</v>
      </c>
    </row>
    <row r="209" spans="13:15" ht="15" x14ac:dyDescent="0.2">
      <c r="M209" s="56"/>
      <c r="N209" s="57"/>
      <c r="O209" s="58" t="b">
        <f t="shared" si="14"/>
        <v>0</v>
      </c>
    </row>
    <row r="210" spans="13:15" ht="15" x14ac:dyDescent="0.2">
      <c r="M210" s="56"/>
      <c r="N210" s="57"/>
      <c r="O210" s="58" t="b">
        <f t="shared" si="14"/>
        <v>0</v>
      </c>
    </row>
    <row r="211" spans="13:15" ht="15" x14ac:dyDescent="0.2">
      <c r="M211" s="56"/>
      <c r="N211" s="57"/>
      <c r="O211" s="58" t="b">
        <f t="shared" si="14"/>
        <v>0</v>
      </c>
    </row>
    <row r="212" spans="13:15" ht="15" x14ac:dyDescent="0.2">
      <c r="M212" s="56"/>
      <c r="N212" s="57"/>
      <c r="O212" s="58" t="b">
        <f t="shared" si="14"/>
        <v>0</v>
      </c>
    </row>
    <row r="213" spans="13:15" ht="15" x14ac:dyDescent="0.2">
      <c r="M213" s="56"/>
      <c r="N213" s="57"/>
      <c r="O213" s="58" t="b">
        <f t="shared" si="14"/>
        <v>0</v>
      </c>
    </row>
    <row r="214" spans="13:15" ht="15" x14ac:dyDescent="0.2">
      <c r="M214" s="56"/>
      <c r="N214" s="57"/>
      <c r="O214" s="58" t="b">
        <f t="shared" si="14"/>
        <v>0</v>
      </c>
    </row>
    <row r="215" spans="13:15" ht="15" x14ac:dyDescent="0.2">
      <c r="M215" s="56"/>
      <c r="N215" s="57"/>
      <c r="O215" s="58" t="b">
        <f t="shared" si="14"/>
        <v>0</v>
      </c>
    </row>
    <row r="216" spans="13:15" ht="15" x14ac:dyDescent="0.2">
      <c r="M216" s="56"/>
      <c r="N216" s="57"/>
      <c r="O216" s="58" t="b">
        <f t="shared" si="14"/>
        <v>0</v>
      </c>
    </row>
    <row r="217" spans="13:15" ht="15" x14ac:dyDescent="0.2">
      <c r="M217" s="56"/>
      <c r="N217" s="57"/>
      <c r="O217" s="58" t="b">
        <f t="shared" si="14"/>
        <v>0</v>
      </c>
    </row>
    <row r="218" spans="13:15" ht="15" x14ac:dyDescent="0.2">
      <c r="M218" s="56"/>
      <c r="N218" s="57"/>
      <c r="O218" s="58" t="b">
        <f t="shared" si="14"/>
        <v>0</v>
      </c>
    </row>
    <row r="219" spans="13:15" ht="15" x14ac:dyDescent="0.2">
      <c r="M219" s="56"/>
      <c r="N219" s="57"/>
      <c r="O219" s="58" t="b">
        <f t="shared" si="14"/>
        <v>0</v>
      </c>
    </row>
    <row r="220" spans="13:15" ht="15" x14ac:dyDescent="0.2">
      <c r="M220" s="56"/>
      <c r="N220" s="57"/>
      <c r="O220" s="58" t="b">
        <f t="shared" si="14"/>
        <v>0</v>
      </c>
    </row>
    <row r="221" spans="13:15" ht="15" x14ac:dyDescent="0.2">
      <c r="M221" s="56"/>
      <c r="N221" s="57"/>
      <c r="O221" s="58" t="b">
        <f t="shared" si="14"/>
        <v>0</v>
      </c>
    </row>
    <row r="222" spans="13:15" ht="15" x14ac:dyDescent="0.2">
      <c r="M222" s="56"/>
      <c r="N222" s="57"/>
      <c r="O222" s="58" t="b">
        <f t="shared" si="14"/>
        <v>0</v>
      </c>
    </row>
    <row r="223" spans="13:15" ht="15" x14ac:dyDescent="0.2">
      <c r="M223" s="56"/>
      <c r="N223" s="57"/>
      <c r="O223" s="58" t="b">
        <f t="shared" si="14"/>
        <v>0</v>
      </c>
    </row>
    <row r="224" spans="13:15" ht="15" x14ac:dyDescent="0.2">
      <c r="M224" s="56"/>
      <c r="N224" s="57"/>
      <c r="O224" s="58" t="b">
        <f t="shared" si="14"/>
        <v>0</v>
      </c>
    </row>
    <row r="225" spans="13:15" ht="15" x14ac:dyDescent="0.2">
      <c r="M225" s="56"/>
      <c r="N225" s="57"/>
      <c r="O225" s="58" t="b">
        <f t="shared" si="14"/>
        <v>0</v>
      </c>
    </row>
    <row r="226" spans="13:15" ht="15" x14ac:dyDescent="0.2">
      <c r="M226" s="56"/>
      <c r="N226" s="57"/>
      <c r="O226" s="58" t="b">
        <f t="shared" si="14"/>
        <v>0</v>
      </c>
    </row>
    <row r="227" spans="13:15" ht="15" x14ac:dyDescent="0.2">
      <c r="M227" s="56"/>
      <c r="N227" s="57"/>
      <c r="O227" s="58" t="b">
        <f t="shared" si="14"/>
        <v>0</v>
      </c>
    </row>
    <row r="228" spans="13:15" ht="15" x14ac:dyDescent="0.2">
      <c r="M228" s="56"/>
      <c r="N228" s="57"/>
      <c r="O228" s="58" t="b">
        <f t="shared" si="14"/>
        <v>0</v>
      </c>
    </row>
    <row r="229" spans="13:15" ht="15" x14ac:dyDescent="0.2">
      <c r="M229" s="56"/>
      <c r="N229" s="57"/>
      <c r="O229" s="58" t="b">
        <f t="shared" si="14"/>
        <v>0</v>
      </c>
    </row>
    <row r="230" spans="13:15" ht="15" x14ac:dyDescent="0.2">
      <c r="M230" s="56"/>
      <c r="N230" s="57"/>
      <c r="O230" s="58" t="b">
        <f t="shared" si="14"/>
        <v>0</v>
      </c>
    </row>
    <row r="231" spans="13:15" ht="15" x14ac:dyDescent="0.2">
      <c r="M231" s="56"/>
      <c r="N231" s="57"/>
      <c r="O231" s="58" t="b">
        <f t="shared" si="14"/>
        <v>0</v>
      </c>
    </row>
    <row r="232" spans="13:15" ht="15" x14ac:dyDescent="0.2">
      <c r="M232" s="56"/>
      <c r="N232" s="57"/>
      <c r="O232" s="58" t="b">
        <f t="shared" si="14"/>
        <v>0</v>
      </c>
    </row>
    <row r="233" spans="13:15" ht="15" x14ac:dyDescent="0.2">
      <c r="M233" s="56"/>
      <c r="N233" s="57"/>
      <c r="O233" s="58" t="b">
        <f t="shared" si="14"/>
        <v>0</v>
      </c>
    </row>
    <row r="234" spans="13:15" ht="15" x14ac:dyDescent="0.2">
      <c r="M234" s="56"/>
      <c r="N234" s="57"/>
      <c r="O234" s="58" t="b">
        <f t="shared" si="14"/>
        <v>0</v>
      </c>
    </row>
    <row r="235" spans="13:15" ht="15" x14ac:dyDescent="0.2">
      <c r="M235" s="56"/>
      <c r="N235" s="57"/>
      <c r="O235" s="58" t="b">
        <f t="shared" si="14"/>
        <v>0</v>
      </c>
    </row>
    <row r="236" spans="13:15" ht="15" x14ac:dyDescent="0.2">
      <c r="M236" s="56"/>
      <c r="N236" s="57"/>
      <c r="O236" s="58" t="b">
        <f t="shared" si="14"/>
        <v>0</v>
      </c>
    </row>
    <row r="237" spans="13:15" ht="15" x14ac:dyDescent="0.2">
      <c r="M237" s="56"/>
      <c r="N237" s="57"/>
      <c r="O237" s="58" t="b">
        <f t="shared" si="14"/>
        <v>0</v>
      </c>
    </row>
    <row r="238" spans="13:15" ht="15" x14ac:dyDescent="0.2">
      <c r="M238" s="56"/>
      <c r="N238" s="57"/>
      <c r="O238" s="58" t="b">
        <f t="shared" si="14"/>
        <v>0</v>
      </c>
    </row>
    <row r="239" spans="13:15" ht="15" x14ac:dyDescent="0.2">
      <c r="M239" s="56"/>
      <c r="N239" s="57"/>
      <c r="O239" s="58" t="b">
        <f t="shared" si="14"/>
        <v>0</v>
      </c>
    </row>
    <row r="240" spans="13:15" ht="15" x14ac:dyDescent="0.2">
      <c r="M240" s="56"/>
      <c r="N240" s="57"/>
      <c r="O240" s="58" t="b">
        <f t="shared" si="14"/>
        <v>0</v>
      </c>
    </row>
    <row r="241" spans="13:15" ht="15" x14ac:dyDescent="0.2">
      <c r="M241" s="56"/>
      <c r="N241" s="57"/>
      <c r="O241" s="58" t="b">
        <f t="shared" si="14"/>
        <v>0</v>
      </c>
    </row>
    <row r="242" spans="13:15" ht="15" x14ac:dyDescent="0.2">
      <c r="M242" s="56"/>
      <c r="N242" s="57"/>
      <c r="O242" s="58" t="b">
        <f t="shared" si="14"/>
        <v>0</v>
      </c>
    </row>
    <row r="243" spans="13:15" ht="15" x14ac:dyDescent="0.2">
      <c r="M243" s="56"/>
      <c r="N243" s="57"/>
      <c r="O243" s="58" t="b">
        <f t="shared" si="14"/>
        <v>0</v>
      </c>
    </row>
    <row r="244" spans="13:15" ht="15" x14ac:dyDescent="0.2">
      <c r="M244" s="56"/>
      <c r="N244" s="57"/>
      <c r="O244" s="58" t="b">
        <f t="shared" si="14"/>
        <v>0</v>
      </c>
    </row>
    <row r="245" spans="13:15" ht="15" x14ac:dyDescent="0.2">
      <c r="M245" s="56"/>
      <c r="N245" s="57"/>
      <c r="O245" s="58" t="b">
        <f t="shared" si="14"/>
        <v>0</v>
      </c>
    </row>
    <row r="246" spans="13:15" ht="15" x14ac:dyDescent="0.2">
      <c r="M246" s="56"/>
      <c r="N246" s="57"/>
      <c r="O246" s="58" t="b">
        <f t="shared" si="14"/>
        <v>0</v>
      </c>
    </row>
    <row r="247" spans="13:15" ht="15" x14ac:dyDescent="0.2">
      <c r="M247" s="56"/>
      <c r="N247" s="57"/>
      <c r="O247" s="58" t="b">
        <f t="shared" si="14"/>
        <v>0</v>
      </c>
    </row>
    <row r="248" spans="13:15" ht="15" x14ac:dyDescent="0.2">
      <c r="M248" s="56"/>
      <c r="N248" s="57"/>
      <c r="O248" s="58" t="b">
        <f t="shared" si="14"/>
        <v>0</v>
      </c>
    </row>
    <row r="249" spans="13:15" ht="15" x14ac:dyDescent="0.2">
      <c r="M249" s="56"/>
      <c r="N249" s="57"/>
      <c r="O249" s="58" t="b">
        <f t="shared" si="14"/>
        <v>0</v>
      </c>
    </row>
    <row r="250" spans="13:15" ht="15" x14ac:dyDescent="0.2">
      <c r="M250" s="56"/>
      <c r="N250" s="57"/>
      <c r="O250" s="58" t="b">
        <f t="shared" si="14"/>
        <v>0</v>
      </c>
    </row>
    <row r="251" spans="13:15" ht="15" x14ac:dyDescent="0.2">
      <c r="M251" s="56"/>
      <c r="N251" s="57"/>
      <c r="O251" s="58" t="b">
        <f t="shared" si="14"/>
        <v>0</v>
      </c>
    </row>
    <row r="252" spans="13:15" ht="15" x14ac:dyDescent="0.2">
      <c r="M252" s="56"/>
      <c r="N252" s="57"/>
      <c r="O252" s="54" t="b">
        <f t="shared" si="14"/>
        <v>0</v>
      </c>
    </row>
  </sheetData>
  <sheetProtection sheet="1" objects="1" scenarios="1" selectLockedCells="1"/>
  <mergeCells count="9">
    <mergeCell ref="A15:C15"/>
    <mergeCell ref="A35:C35"/>
    <mergeCell ref="A1:C2"/>
    <mergeCell ref="E23:G23"/>
    <mergeCell ref="E1:G1"/>
    <mergeCell ref="B4:C4"/>
    <mergeCell ref="B3:C3"/>
    <mergeCell ref="A8:C8"/>
    <mergeCell ref="A25:C25"/>
  </mergeCells>
  <phoneticPr fontId="1" type="noConversion"/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ignoredErrors>
    <ignoredError sqref="B36:B37" unlocked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7" sqref="M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126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35908</v>
      </c>
      <c r="N3" s="57">
        <v>250</v>
      </c>
      <c r="O3" s="58">
        <f t="shared" ref="O3:O66" si="0">IF($N3&gt;0,LN($N3+$B$26))</f>
        <v>5.857933154483459</v>
      </c>
      <c r="T3" s="69" t="s">
        <v>109</v>
      </c>
      <c r="U3" s="82">
        <f>$B$21</f>
        <v>352.74920610719818</v>
      </c>
      <c r="V3" s="82">
        <f t="shared" ref="V3:V10" si="1">U3</f>
        <v>352.74920610719818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36108</v>
      </c>
      <c r="N4" s="57">
        <v>250</v>
      </c>
      <c r="O4" s="58">
        <f t="shared" si="0"/>
        <v>5.857933154483459</v>
      </c>
      <c r="T4" s="69" t="s">
        <v>111</v>
      </c>
      <c r="U4" s="82">
        <f>$B$31</f>
        <v>342.22668777459631</v>
      </c>
      <c r="V4" s="82">
        <f t="shared" si="1"/>
        <v>342.22668777459631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36251</v>
      </c>
      <c r="N5" s="57">
        <v>130</v>
      </c>
      <c r="O5" s="58">
        <f t="shared" si="0"/>
        <v>5.4380793089231956</v>
      </c>
      <c r="T5" s="69" t="s">
        <v>110</v>
      </c>
      <c r="U5" s="82">
        <f>$B$22</f>
        <v>380.54782760754125</v>
      </c>
      <c r="V5" s="82">
        <f t="shared" si="1"/>
        <v>380.54782760754125</v>
      </c>
    </row>
    <row r="6" spans="1:24" ht="15" customHeight="1" x14ac:dyDescent="0.25">
      <c r="A6" s="107" t="s">
        <v>18</v>
      </c>
      <c r="B6" s="116">
        <v>250</v>
      </c>
      <c r="C6" s="18"/>
      <c r="M6" s="56">
        <v>36276</v>
      </c>
      <c r="N6" s="57">
        <v>130</v>
      </c>
      <c r="O6" s="58">
        <f t="shared" si="0"/>
        <v>5.4380793089231956</v>
      </c>
      <c r="T6" s="69" t="s">
        <v>29</v>
      </c>
      <c r="U6" s="82">
        <f>$B$32</f>
        <v>389.01321607791635</v>
      </c>
      <c r="V6" s="82">
        <f t="shared" si="1"/>
        <v>389.01321607791635</v>
      </c>
    </row>
    <row r="7" spans="1:24" ht="15" customHeight="1" x14ac:dyDescent="0.2">
      <c r="D7" s="4"/>
      <c r="F7" s="5"/>
      <c r="M7" s="56">
        <v>36434</v>
      </c>
      <c r="N7" s="57">
        <v>168</v>
      </c>
      <c r="O7" s="58">
        <f t="shared" si="0"/>
        <v>5.5909869805108565</v>
      </c>
      <c r="T7" s="69" t="s">
        <v>31</v>
      </c>
      <c r="U7" s="82">
        <f>$C$21</f>
        <v>55.332761105916575</v>
      </c>
      <c r="V7" s="82">
        <f t="shared" si="1"/>
        <v>55.332761105916575</v>
      </c>
    </row>
    <row r="8" spans="1:24" ht="15" customHeight="1" x14ac:dyDescent="0.25">
      <c r="A8" s="140" t="s">
        <v>12</v>
      </c>
      <c r="B8" s="140"/>
      <c r="C8" s="140"/>
      <c r="D8" s="4"/>
      <c r="M8" s="56">
        <v>36651</v>
      </c>
      <c r="N8" s="57">
        <v>164</v>
      </c>
      <c r="O8" s="58">
        <f t="shared" si="0"/>
        <v>5.575949103146316</v>
      </c>
      <c r="T8" s="69" t="s">
        <v>32</v>
      </c>
      <c r="U8" s="82">
        <f>$C$31</f>
        <v>5.2052256444532397</v>
      </c>
      <c r="V8" s="82">
        <f t="shared" si="1"/>
        <v>5.2052256444532397</v>
      </c>
    </row>
    <row r="9" spans="1:24" ht="15" customHeight="1" x14ac:dyDescent="0.2">
      <c r="A9" s="101" t="s">
        <v>11</v>
      </c>
      <c r="B9" s="59">
        <f>COUNT($M$3:$M252)</f>
        <v>61</v>
      </c>
      <c r="C9" s="60"/>
      <c r="D9" s="4"/>
      <c r="M9" s="56">
        <v>36838</v>
      </c>
      <c r="N9" s="57">
        <v>165</v>
      </c>
      <c r="O9" s="58">
        <f t="shared" si="0"/>
        <v>5.579729825986222</v>
      </c>
      <c r="T9" s="69" t="s">
        <v>112</v>
      </c>
      <c r="U9" s="82">
        <f>$C$22</f>
        <v>27.5341396055735</v>
      </c>
      <c r="V9" s="82">
        <f t="shared" si="1"/>
        <v>27.5341396055735</v>
      </c>
    </row>
    <row r="10" spans="1:24" ht="15" customHeight="1" x14ac:dyDescent="0.2">
      <c r="A10" s="102" t="s">
        <v>7</v>
      </c>
      <c r="B10" s="61">
        <f>MIN($N$3:$N$252)</f>
        <v>69</v>
      </c>
      <c r="C10" s="60"/>
      <c r="D10" s="4"/>
      <c r="M10" s="56">
        <v>37006</v>
      </c>
      <c r="N10" s="57">
        <v>189</v>
      </c>
      <c r="O10" s="58">
        <f t="shared" si="0"/>
        <v>5.6664266881124323</v>
      </c>
      <c r="T10" s="69" t="s">
        <v>113</v>
      </c>
      <c r="U10" s="82">
        <f>$C$32</f>
        <v>5.1151143315056986</v>
      </c>
      <c r="V10" s="82">
        <f t="shared" si="1"/>
        <v>5.1151143315056986</v>
      </c>
    </row>
    <row r="11" spans="1:24" ht="15" customHeight="1" x14ac:dyDescent="0.2">
      <c r="A11" s="102" t="s">
        <v>8</v>
      </c>
      <c r="B11" s="61">
        <f>MAX($N$3:$N$252)</f>
        <v>378</v>
      </c>
      <c r="C11" s="60"/>
      <c r="D11" s="4"/>
      <c r="M11" s="56">
        <v>37172</v>
      </c>
      <c r="N11" s="57">
        <v>209</v>
      </c>
      <c r="O11" s="58">
        <f t="shared" si="0"/>
        <v>5.7333412768977459</v>
      </c>
      <c r="T11" s="69" t="s">
        <v>68</v>
      </c>
      <c r="U11" s="82">
        <f>$B$12</f>
        <v>189</v>
      </c>
      <c r="V11" s="82">
        <f>U11</f>
        <v>189</v>
      </c>
    </row>
    <row r="12" spans="1:24" ht="15" customHeight="1" x14ac:dyDescent="0.2">
      <c r="A12" s="102" t="s">
        <v>68</v>
      </c>
      <c r="B12" s="62">
        <f>MEDIAN($N$3:$N$252)</f>
        <v>189</v>
      </c>
      <c r="C12" s="50"/>
      <c r="D12" s="4"/>
      <c r="M12" s="56">
        <v>37354</v>
      </c>
      <c r="N12" s="57">
        <v>88.5</v>
      </c>
      <c r="O12" s="58">
        <f t="shared" si="0"/>
        <v>5.2390980068880655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37573</v>
      </c>
      <c r="N13" s="57">
        <v>266</v>
      </c>
      <c r="O13" s="58">
        <f t="shared" si="0"/>
        <v>5.9026333334013659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37750</v>
      </c>
      <c r="N14" s="57">
        <v>129</v>
      </c>
      <c r="O14" s="58">
        <f t="shared" si="0"/>
        <v>5.43372200355424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37930</v>
      </c>
      <c r="N15" s="57">
        <v>166</v>
      </c>
      <c r="O15" s="58">
        <f t="shared" si="0"/>
        <v>5.5834963087816991</v>
      </c>
      <c r="T15" s="69">
        <v>1</v>
      </c>
      <c r="U15" s="77">
        <f t="shared" ref="U15:U39" si="3">$B$36+T15*$B$38</f>
        <v>15.876000000000001</v>
      </c>
      <c r="V15" s="84">
        <f>FREQUENCY($N$3:$N$252,$U$15:$U$39)</f>
        <v>0</v>
      </c>
      <c r="W15" s="79">
        <f t="shared" ref="W15:W39" si="4">(U15+U14)/2</f>
        <v>7.9380000000000006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204.04098360655738</v>
      </c>
      <c r="C16" s="60"/>
      <c r="M16" s="56">
        <v>38183</v>
      </c>
      <c r="N16" s="57">
        <v>120</v>
      </c>
      <c r="O16" s="58">
        <f t="shared" si="0"/>
        <v>5.393627546352362</v>
      </c>
      <c r="T16" s="69">
        <v>2</v>
      </c>
      <c r="U16" s="77">
        <f t="shared" si="3"/>
        <v>31.752000000000002</v>
      </c>
      <c r="V16" s="84">
        <f t="array" ref="V16:V40">FREQUENCY($N$3:$N$252,$U$15:$U$39)</f>
        <v>0</v>
      </c>
      <c r="W16" s="79">
        <f t="shared" si="4"/>
        <v>23.814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75.872936275172563</v>
      </c>
      <c r="C17" s="60"/>
      <c r="D17" s="4"/>
      <c r="M17" s="56">
        <v>38281</v>
      </c>
      <c r="N17" s="57">
        <v>290</v>
      </c>
      <c r="O17" s="58">
        <f t="shared" si="0"/>
        <v>5.9661467391236922</v>
      </c>
      <c r="T17" s="69">
        <v>3</v>
      </c>
      <c r="U17" s="77">
        <f t="shared" si="3"/>
        <v>47.628</v>
      </c>
      <c r="V17" s="84">
        <v>0</v>
      </c>
      <c r="W17" s="79">
        <f t="shared" si="4"/>
        <v>39.69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0.20776182384791297</v>
      </c>
      <c r="C18" s="114" t="s">
        <v>45</v>
      </c>
      <c r="D18" s="4"/>
      <c r="J18" s="6"/>
      <c r="M18" s="56">
        <v>38344</v>
      </c>
      <c r="N18" s="57">
        <v>130</v>
      </c>
      <c r="O18" s="58">
        <f t="shared" si="0"/>
        <v>5.4380793089231956</v>
      </c>
      <c r="T18" s="69">
        <v>4</v>
      </c>
      <c r="U18" s="77">
        <f t="shared" si="3"/>
        <v>63.504000000000005</v>
      </c>
      <c r="V18" s="84">
        <v>0</v>
      </c>
      <c r="W18" s="79">
        <f t="shared" si="4"/>
        <v>55.566000000000003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38391</v>
      </c>
      <c r="N19" s="57">
        <v>170</v>
      </c>
      <c r="O19" s="58">
        <f t="shared" si="0"/>
        <v>5.598421958998375</v>
      </c>
      <c r="T19" s="69">
        <v>5</v>
      </c>
      <c r="U19" s="77">
        <f t="shared" si="3"/>
        <v>79.38000000000001</v>
      </c>
      <c r="V19" s="84">
        <v>0</v>
      </c>
      <c r="W19" s="79">
        <f t="shared" si="4"/>
        <v>71.442000000000007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38460</v>
      </c>
      <c r="N20" s="57">
        <v>69</v>
      </c>
      <c r="O20" s="58">
        <f t="shared" si="0"/>
        <v>5.1298987149230735</v>
      </c>
      <c r="T20" s="69">
        <v>6</v>
      </c>
      <c r="U20" s="77">
        <f t="shared" si="3"/>
        <v>95.256</v>
      </c>
      <c r="V20" s="84">
        <v>1</v>
      </c>
      <c r="W20" s="79">
        <f t="shared" si="4"/>
        <v>87.318000000000012</v>
      </c>
      <c r="X20" s="80">
        <f t="shared" si="2"/>
        <v>1.0325927578074339E-3</v>
      </c>
    </row>
    <row r="21" spans="1:24" ht="15" customHeight="1" x14ac:dyDescent="0.2">
      <c r="A21" s="103" t="s">
        <v>76</v>
      </c>
      <c r="B21" s="62">
        <f>NORMINV(0.975,$B$16,$B$17)</f>
        <v>352.74920610719818</v>
      </c>
      <c r="C21" s="62">
        <f>NORMINV(0.025,$B$16,$B$17)</f>
        <v>55.332761105916575</v>
      </c>
      <c r="D21" s="4"/>
      <c r="M21" s="56">
        <v>38553</v>
      </c>
      <c r="N21" s="57">
        <v>96</v>
      </c>
      <c r="O21" s="58">
        <f t="shared" si="0"/>
        <v>5.2781146592305168</v>
      </c>
      <c r="T21" s="69">
        <v>7</v>
      </c>
      <c r="U21" s="77">
        <f t="shared" si="3"/>
        <v>111.13200000000001</v>
      </c>
      <c r="V21" s="84">
        <v>1</v>
      </c>
      <c r="W21" s="79">
        <f t="shared" si="4"/>
        <v>103.194</v>
      </c>
      <c r="X21" s="80">
        <f t="shared" si="2"/>
        <v>1.0325927578074339E-3</v>
      </c>
    </row>
    <row r="22" spans="1:24" ht="15" customHeight="1" x14ac:dyDescent="0.2">
      <c r="A22" s="104" t="s">
        <v>77</v>
      </c>
      <c r="B22" s="62">
        <f>NORMINV(0.99,$B$16,$B$17)</f>
        <v>380.54782760754125</v>
      </c>
      <c r="C22" s="62">
        <f>NORMINV(0.01,B16,B17)</f>
        <v>27.5341396055735</v>
      </c>
      <c r="M22" s="56">
        <v>38701</v>
      </c>
      <c r="N22" s="57">
        <v>100</v>
      </c>
      <c r="O22" s="58">
        <f t="shared" si="0"/>
        <v>5.2983173665480363</v>
      </c>
      <c r="T22" s="69">
        <v>8</v>
      </c>
      <c r="U22" s="77">
        <f t="shared" si="3"/>
        <v>127.00800000000001</v>
      </c>
      <c r="V22" s="84">
        <v>3</v>
      </c>
      <c r="W22" s="79">
        <f t="shared" si="4"/>
        <v>119.07000000000001</v>
      </c>
      <c r="X22" s="80">
        <f t="shared" si="2"/>
        <v>3.0977782734223011E-3</v>
      </c>
    </row>
    <row r="23" spans="1:24" ht="15" customHeight="1" x14ac:dyDescent="0.25">
      <c r="A23" s="112" t="s">
        <v>81</v>
      </c>
      <c r="B23" s="96">
        <f>MAX($B$22+0.5*$B$6,$B$6)</f>
        <v>505.54782760754125</v>
      </c>
      <c r="E23" s="144" t="s">
        <v>80</v>
      </c>
      <c r="F23" s="144"/>
      <c r="G23" s="144"/>
      <c r="M23" s="56">
        <v>39079</v>
      </c>
      <c r="N23" s="57">
        <v>99</v>
      </c>
      <c r="O23" s="58">
        <f t="shared" si="0"/>
        <v>5.2933048247244923</v>
      </c>
      <c r="T23" s="69">
        <v>9</v>
      </c>
      <c r="U23" s="77">
        <f t="shared" si="3"/>
        <v>142.88400000000001</v>
      </c>
      <c r="V23" s="84">
        <v>2</v>
      </c>
      <c r="W23" s="79">
        <f t="shared" si="4"/>
        <v>134.94600000000003</v>
      </c>
      <c r="X23" s="80">
        <f t="shared" si="2"/>
        <v>2.0651855156148678E-3</v>
      </c>
    </row>
    <row r="24" spans="1:24" ht="15" customHeight="1" x14ac:dyDescent="0.2">
      <c r="M24" s="56">
        <v>39127</v>
      </c>
      <c r="N24" s="57">
        <v>160</v>
      </c>
      <c r="O24" s="58">
        <f t="shared" si="0"/>
        <v>5.5606816310155276</v>
      </c>
      <c r="T24" s="69">
        <v>10</v>
      </c>
      <c r="U24" s="77">
        <f t="shared" si="3"/>
        <v>158.76000000000002</v>
      </c>
      <c r="V24" s="84">
        <v>5</v>
      </c>
      <c r="W24" s="79">
        <f t="shared" si="4"/>
        <v>150.822</v>
      </c>
      <c r="X24" s="80">
        <f t="shared" si="2"/>
        <v>5.1629637890371685E-3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39226</v>
      </c>
      <c r="N25" s="57">
        <v>180</v>
      </c>
      <c r="O25" s="58">
        <f t="shared" si="0"/>
        <v>5.6347896031692493</v>
      </c>
      <c r="Q25" s="75" t="s">
        <v>68</v>
      </c>
      <c r="R25" s="75">
        <f>MEDIAN($O$3:$O$252)</f>
        <v>5.6664266881124323</v>
      </c>
      <c r="T25" s="69">
        <v>11</v>
      </c>
      <c r="U25" s="77">
        <f t="shared" si="3"/>
        <v>174.63600000000002</v>
      </c>
      <c r="V25" s="84">
        <v>4</v>
      </c>
      <c r="W25" s="79">
        <f t="shared" si="4"/>
        <v>166.69800000000004</v>
      </c>
      <c r="X25" s="80">
        <f t="shared" si="2"/>
        <v>4.1303710312297357E-3</v>
      </c>
    </row>
    <row r="26" spans="1:24" ht="15" customHeight="1" x14ac:dyDescent="0.2">
      <c r="A26" s="86" t="s">
        <v>36</v>
      </c>
      <c r="B26" s="134">
        <v>100</v>
      </c>
      <c r="C26" s="62"/>
      <c r="E26" s="7" t="e">
        <f>AVERAGE(C50:C199)</f>
        <v>#DIV/0!</v>
      </c>
      <c r="M26" s="56">
        <v>39308</v>
      </c>
      <c r="N26" s="57">
        <v>190</v>
      </c>
      <c r="O26" s="58">
        <f t="shared" si="0"/>
        <v>5.6698809229805196</v>
      </c>
      <c r="Q26" s="75" t="s">
        <v>73</v>
      </c>
      <c r="R26" s="75">
        <f>AVERAGE($O$3:$O$252)</f>
        <v>5.6872744818555709</v>
      </c>
      <c r="T26" s="69">
        <v>12</v>
      </c>
      <c r="U26" s="77">
        <f t="shared" si="3"/>
        <v>190.512</v>
      </c>
      <c r="V26" s="84">
        <v>10</v>
      </c>
      <c r="W26" s="79">
        <f t="shared" si="4"/>
        <v>182.57400000000001</v>
      </c>
      <c r="X26" s="80">
        <f t="shared" si="2"/>
        <v>1.0325927578074337E-2</v>
      </c>
    </row>
    <row r="27" spans="1:24" ht="15" customHeight="1" x14ac:dyDescent="0.2">
      <c r="A27" s="65" t="s">
        <v>17</v>
      </c>
      <c r="B27" s="62">
        <f>EXP($R$26)</f>
        <v>295.08825522618355</v>
      </c>
      <c r="C27" s="62"/>
      <c r="E27" s="7" t="e">
        <f>STDEV(C50:C199)</f>
        <v>#DIV/0!</v>
      </c>
      <c r="F27" s="7" t="e">
        <f>NORMINV(0.025,$E26,$E27)</f>
        <v>#DIV/0!</v>
      </c>
      <c r="M27" s="56">
        <v>39408</v>
      </c>
      <c r="N27" s="57">
        <v>130</v>
      </c>
      <c r="O27" s="58">
        <f t="shared" si="0"/>
        <v>5.4380793089231956</v>
      </c>
      <c r="Q27" s="75" t="s">
        <v>104</v>
      </c>
      <c r="R27" s="75">
        <f>STDEV($O$3:$O$252)</f>
        <v>0.2459478037375539</v>
      </c>
      <c r="T27" s="69">
        <v>13</v>
      </c>
      <c r="U27" s="77">
        <f t="shared" si="3"/>
        <v>206.38800000000001</v>
      </c>
      <c r="V27" s="84">
        <v>7</v>
      </c>
      <c r="W27" s="79">
        <f t="shared" si="4"/>
        <v>198.45</v>
      </c>
      <c r="X27" s="80">
        <f t="shared" si="2"/>
        <v>7.2281493046520368E-3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8.883693282017438E-2</v>
      </c>
      <c r="C28" s="115" t="s">
        <v>45</v>
      </c>
      <c r="F28" s="7" t="e">
        <f>NORMINV(0.01,$E$26,$E$27)</f>
        <v>#DIV/0!</v>
      </c>
      <c r="M28" s="56">
        <v>39505</v>
      </c>
      <c r="N28" s="57">
        <v>160</v>
      </c>
      <c r="O28" s="58">
        <f t="shared" si="0"/>
        <v>5.5606816310155276</v>
      </c>
      <c r="Q28" s="75" t="s">
        <v>108</v>
      </c>
      <c r="R28" s="75">
        <f>NORMINV(0.025,$R$26,$R$27)</f>
        <v>5.2052256444532397</v>
      </c>
      <c r="T28" s="69">
        <v>14</v>
      </c>
      <c r="U28" s="77">
        <f t="shared" si="3"/>
        <v>222.26400000000001</v>
      </c>
      <c r="V28" s="84">
        <v>5</v>
      </c>
      <c r="W28" s="79">
        <f t="shared" si="4"/>
        <v>214.32600000000002</v>
      </c>
      <c r="X28" s="80">
        <f t="shared" si="2"/>
        <v>5.1629637890371685E-3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39596</v>
      </c>
      <c r="N29" s="57">
        <v>150</v>
      </c>
      <c r="O29" s="58">
        <f t="shared" si="0"/>
        <v>5.521460917862246</v>
      </c>
      <c r="Q29" s="75" t="s">
        <v>107</v>
      </c>
      <c r="R29" s="75">
        <f>NORMINV(0.01,$R$26,$R$27)</f>
        <v>5.1151143315056986</v>
      </c>
      <c r="T29" s="69">
        <v>15</v>
      </c>
      <c r="U29" s="77">
        <f t="shared" si="3"/>
        <v>238.14000000000001</v>
      </c>
      <c r="V29" s="84">
        <v>3</v>
      </c>
      <c r="W29" s="79">
        <f t="shared" si="4"/>
        <v>230.202</v>
      </c>
      <c r="X29" s="80">
        <f t="shared" si="2"/>
        <v>3.0977782734223011E-3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39674</v>
      </c>
      <c r="N30" s="57">
        <v>199</v>
      </c>
      <c r="O30" s="58">
        <f t="shared" si="0"/>
        <v>5.7004435733906869</v>
      </c>
      <c r="Q30" s="75" t="s">
        <v>105</v>
      </c>
      <c r="R30" s="75">
        <f>NORMINV(0.95,$R$26,$R$27)</f>
        <v>6.0918226188740352</v>
      </c>
      <c r="T30" s="69">
        <v>16</v>
      </c>
      <c r="U30" s="77">
        <f t="shared" si="3"/>
        <v>254.01600000000002</v>
      </c>
      <c r="V30" s="84">
        <v>2</v>
      </c>
      <c r="W30" s="79">
        <f t="shared" si="4"/>
        <v>246.07800000000003</v>
      </c>
      <c r="X30" s="80">
        <f t="shared" si="2"/>
        <v>2.0651855156148678E-3</v>
      </c>
    </row>
    <row r="31" spans="1:24" ht="15" customHeight="1" x14ac:dyDescent="0.2">
      <c r="A31" s="65" t="s">
        <v>98</v>
      </c>
      <c r="B31" s="62">
        <f>EXP($R30)-$B$26</f>
        <v>342.22668777459631</v>
      </c>
      <c r="C31" s="62">
        <f>NORMINV(0.025,$R$26,$R$27)</f>
        <v>5.2052256444532397</v>
      </c>
      <c r="E31" s="7" t="e">
        <f>NORMINV(0.98,$E$26,$E$27)</f>
        <v>#DIV/0!</v>
      </c>
      <c r="M31" s="56">
        <v>39758</v>
      </c>
      <c r="N31" s="57">
        <v>157</v>
      </c>
      <c r="O31" s="58">
        <f t="shared" si="0"/>
        <v>5.5490760848952201</v>
      </c>
      <c r="Q31" s="75" t="s">
        <v>106</v>
      </c>
      <c r="R31" s="75">
        <f>NORMINV(0.98,$R$26,$R$27)</f>
        <v>6.1923895158538613</v>
      </c>
      <c r="T31" s="69">
        <v>17</v>
      </c>
      <c r="U31" s="77">
        <f t="shared" si="3"/>
        <v>269.892</v>
      </c>
      <c r="V31" s="84">
        <v>3</v>
      </c>
      <c r="W31" s="79">
        <f t="shared" si="4"/>
        <v>261.95400000000001</v>
      </c>
      <c r="X31" s="80">
        <f t="shared" si="2"/>
        <v>3.0977782734223011E-3</v>
      </c>
    </row>
    <row r="32" spans="1:24" ht="15" customHeight="1" x14ac:dyDescent="0.2">
      <c r="A32" s="65" t="s">
        <v>86</v>
      </c>
      <c r="B32" s="62">
        <f>EXP($R$31)-$B$26</f>
        <v>389.01321607791635</v>
      </c>
      <c r="C32" s="62">
        <f>NORMINV(0.01,$R$26,$R$27)</f>
        <v>5.1151143315056986</v>
      </c>
      <c r="M32" s="56">
        <v>39856</v>
      </c>
      <c r="N32" s="57">
        <v>159</v>
      </c>
      <c r="O32" s="58">
        <f t="shared" si="0"/>
        <v>5.5568280616995374</v>
      </c>
      <c r="T32" s="69">
        <v>18</v>
      </c>
      <c r="U32" s="77">
        <f t="shared" si="3"/>
        <v>285.76800000000003</v>
      </c>
      <c r="V32" s="84">
        <v>2</v>
      </c>
      <c r="W32" s="79">
        <f t="shared" si="4"/>
        <v>277.83000000000004</v>
      </c>
      <c r="X32" s="80">
        <f t="shared" si="2"/>
        <v>2.0651855156148678E-3</v>
      </c>
    </row>
    <row r="33" spans="1:24" ht="15" customHeight="1" x14ac:dyDescent="0.25">
      <c r="A33" s="112" t="s">
        <v>81</v>
      </c>
      <c r="B33" s="113">
        <f>MAX($B$32+0.5*$B$6,B6)</f>
        <v>514.01321607791635</v>
      </c>
      <c r="M33" s="56">
        <v>39960</v>
      </c>
      <c r="N33" s="57">
        <v>220</v>
      </c>
      <c r="O33" s="58">
        <f t="shared" si="0"/>
        <v>5.768320995793772</v>
      </c>
      <c r="T33" s="69">
        <v>19</v>
      </c>
      <c r="U33" s="77">
        <f t="shared" si="3"/>
        <v>301.64400000000001</v>
      </c>
      <c r="V33" s="84">
        <v>1</v>
      </c>
      <c r="W33" s="79">
        <f t="shared" si="4"/>
        <v>293.70600000000002</v>
      </c>
      <c r="X33" s="80">
        <f t="shared" si="2"/>
        <v>1.0325927578074339E-3</v>
      </c>
    </row>
    <row r="34" spans="1:24" ht="15" customHeight="1" x14ac:dyDescent="0.2">
      <c r="M34" s="56">
        <v>40052</v>
      </c>
      <c r="N34" s="57">
        <v>190</v>
      </c>
      <c r="O34" s="58">
        <f t="shared" si="0"/>
        <v>5.6698809229805196</v>
      </c>
      <c r="T34" s="69">
        <v>20</v>
      </c>
      <c r="U34" s="77">
        <f t="shared" si="3"/>
        <v>317.52000000000004</v>
      </c>
      <c r="V34" s="84">
        <v>3</v>
      </c>
      <c r="W34" s="79">
        <f t="shared" si="4"/>
        <v>309.58199999999999</v>
      </c>
      <c r="X34" s="80">
        <f t="shared" si="2"/>
        <v>3.0977782734223011E-3</v>
      </c>
    </row>
    <row r="35" spans="1:24" ht="15" customHeight="1" x14ac:dyDescent="0.25">
      <c r="A35" s="140" t="s">
        <v>78</v>
      </c>
      <c r="B35" s="140"/>
      <c r="C35" s="140"/>
      <c r="M35" s="56">
        <v>40122</v>
      </c>
      <c r="N35" s="57">
        <v>178</v>
      </c>
      <c r="O35" s="58">
        <f t="shared" si="0"/>
        <v>5.6276211136906369</v>
      </c>
      <c r="T35" s="69">
        <v>21</v>
      </c>
      <c r="U35" s="77">
        <f t="shared" si="3"/>
        <v>333.39600000000002</v>
      </c>
      <c r="V35" s="84">
        <v>0</v>
      </c>
      <c r="W35" s="79">
        <f t="shared" si="4"/>
        <v>325.45800000000003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40234</v>
      </c>
      <c r="N36" s="57">
        <v>194</v>
      </c>
      <c r="O36" s="58">
        <f t="shared" si="0"/>
        <v>5.6835797673386814</v>
      </c>
      <c r="T36" s="69">
        <v>22</v>
      </c>
      <c r="U36" s="77">
        <f t="shared" si="3"/>
        <v>349.27200000000005</v>
      </c>
      <c r="V36" s="84">
        <v>4</v>
      </c>
      <c r="W36" s="79">
        <f t="shared" si="4"/>
        <v>341.33400000000006</v>
      </c>
      <c r="X36" s="80">
        <f t="shared" si="2"/>
        <v>4.1303710312297357E-3</v>
      </c>
    </row>
    <row r="37" spans="1:24" ht="15.75" x14ac:dyDescent="0.25">
      <c r="A37" s="103" t="s">
        <v>8</v>
      </c>
      <c r="B37" s="52">
        <f>1.05*B11</f>
        <v>396.90000000000003</v>
      </c>
      <c r="D37" s="8"/>
      <c r="E37" s="8"/>
      <c r="M37" s="56">
        <v>40326</v>
      </c>
      <c r="N37" s="57">
        <v>160</v>
      </c>
      <c r="O37" s="58">
        <f t="shared" si="0"/>
        <v>5.5606816310155276</v>
      </c>
      <c r="T37" s="69">
        <v>23</v>
      </c>
      <c r="U37" s="77">
        <f t="shared" si="3"/>
        <v>365.14800000000002</v>
      </c>
      <c r="V37" s="84">
        <v>3</v>
      </c>
      <c r="W37" s="79">
        <f t="shared" si="4"/>
        <v>357.21000000000004</v>
      </c>
      <c r="X37" s="80">
        <f t="shared" si="2"/>
        <v>3.0977782734223011E-3</v>
      </c>
    </row>
    <row r="38" spans="1:24" ht="15" x14ac:dyDescent="0.2">
      <c r="A38" s="104" t="s">
        <v>19</v>
      </c>
      <c r="B38" s="53">
        <f>($B$37-$B$36)/25</f>
        <v>15.876000000000001</v>
      </c>
      <c r="M38" s="56">
        <v>40403</v>
      </c>
      <c r="N38" s="57">
        <v>271</v>
      </c>
      <c r="O38" s="58">
        <f t="shared" si="0"/>
        <v>5.916202062607435</v>
      </c>
      <c r="T38" s="69">
        <v>24</v>
      </c>
      <c r="U38" s="77">
        <f t="shared" si="3"/>
        <v>381.024</v>
      </c>
      <c r="V38" s="84">
        <v>1</v>
      </c>
      <c r="W38" s="79">
        <f t="shared" si="4"/>
        <v>373.08600000000001</v>
      </c>
      <c r="X38" s="80">
        <f t="shared" si="2"/>
        <v>1.0325927578074339E-3</v>
      </c>
    </row>
    <row r="39" spans="1:24" ht="15" x14ac:dyDescent="0.2">
      <c r="M39" s="56">
        <v>40507</v>
      </c>
      <c r="N39" s="57">
        <v>154</v>
      </c>
      <c r="O39" s="58">
        <f t="shared" si="0"/>
        <v>5.5373342670185366</v>
      </c>
      <c r="T39" s="69">
        <v>25</v>
      </c>
      <c r="U39" s="77">
        <f t="shared" si="3"/>
        <v>396.90000000000003</v>
      </c>
      <c r="V39" s="84">
        <v>1</v>
      </c>
      <c r="W39" s="79">
        <f t="shared" si="4"/>
        <v>388.96199999999999</v>
      </c>
      <c r="X39" s="80">
        <f t="shared" si="2"/>
        <v>1.0325927578074339E-3</v>
      </c>
    </row>
    <row r="40" spans="1:24" ht="15" x14ac:dyDescent="0.2">
      <c r="M40" s="56">
        <v>40577</v>
      </c>
      <c r="N40" s="57">
        <v>291</v>
      </c>
      <c r="O40" s="58">
        <f t="shared" si="0"/>
        <v>5.9687075599853658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40682</v>
      </c>
      <c r="N41" s="57">
        <v>172</v>
      </c>
      <c r="O41" s="58">
        <f t="shared" si="0"/>
        <v>5.6058020662959978</v>
      </c>
    </row>
    <row r="42" spans="1:24" ht="15" x14ac:dyDescent="0.2">
      <c r="M42" s="56">
        <v>40759</v>
      </c>
      <c r="N42" s="57">
        <v>175</v>
      </c>
      <c r="O42" s="58">
        <f t="shared" si="0"/>
        <v>5.6167710976665717</v>
      </c>
    </row>
    <row r="43" spans="1:24" ht="15" x14ac:dyDescent="0.2">
      <c r="M43" s="56">
        <v>40856</v>
      </c>
      <c r="N43" s="57">
        <v>187</v>
      </c>
      <c r="O43" s="58">
        <f t="shared" si="0"/>
        <v>5.6594822157596214</v>
      </c>
    </row>
    <row r="44" spans="1:24" ht="15" x14ac:dyDescent="0.2">
      <c r="M44" s="56">
        <v>40961</v>
      </c>
      <c r="N44" s="57">
        <v>256</v>
      </c>
      <c r="O44" s="58">
        <f t="shared" si="0"/>
        <v>5.8749307308520304</v>
      </c>
      <c r="T44" s="83" t="s">
        <v>13</v>
      </c>
    </row>
    <row r="45" spans="1:24" ht="15" x14ac:dyDescent="0.2">
      <c r="M45" s="56">
        <v>41044</v>
      </c>
      <c r="N45" s="57">
        <v>378</v>
      </c>
      <c r="O45" s="58">
        <f t="shared" si="0"/>
        <v>6.1696107324914564</v>
      </c>
      <c r="T45" s="69" t="s">
        <v>26</v>
      </c>
      <c r="U45" s="69" t="s">
        <v>27</v>
      </c>
    </row>
    <row r="46" spans="1:24" ht="15" x14ac:dyDescent="0.2">
      <c r="B46" s="6"/>
      <c r="M46" s="56">
        <v>41123</v>
      </c>
      <c r="N46" s="57">
        <v>335</v>
      </c>
      <c r="O46" s="58">
        <f t="shared" si="0"/>
        <v>6.0753460310886842</v>
      </c>
      <c r="T46" s="85">
        <f>$U$14-$B$38/100</f>
        <v>-0.15876000000000001</v>
      </c>
      <c r="U46" s="28">
        <v>0</v>
      </c>
    </row>
    <row r="47" spans="1:24" ht="15" x14ac:dyDescent="0.2">
      <c r="B47" s="9"/>
      <c r="C47" s="9"/>
      <c r="D47" s="9"/>
      <c r="E47" s="9"/>
      <c r="M47" s="56">
        <v>41235</v>
      </c>
      <c r="N47" s="57">
        <v>323</v>
      </c>
      <c r="O47" s="58">
        <f t="shared" si="0"/>
        <v>6.0473721790462776</v>
      </c>
      <c r="T47" s="85">
        <f>$U$14+$B$38/100</f>
        <v>0.15876000000000001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41326</v>
      </c>
      <c r="N48" s="57">
        <v>325</v>
      </c>
      <c r="O48" s="58">
        <f t="shared" si="0"/>
        <v>6.0520891689244172</v>
      </c>
      <c r="T48" s="85">
        <f>$U$15-$B$38/100</f>
        <v>15.71724</v>
      </c>
      <c r="U48" s="28">
        <f>$X$15</f>
        <v>0</v>
      </c>
    </row>
    <row r="49" spans="5:21" ht="15" x14ac:dyDescent="0.2">
      <c r="E49" s="13"/>
      <c r="M49" s="56">
        <v>41428</v>
      </c>
      <c r="N49" s="57">
        <v>194</v>
      </c>
      <c r="O49" s="58">
        <f t="shared" si="0"/>
        <v>5.6835797673386814</v>
      </c>
      <c r="T49" s="85">
        <f>$U$15+$B$38/100</f>
        <v>16.034760000000002</v>
      </c>
      <c r="U49" s="28">
        <f>$X$16</f>
        <v>0</v>
      </c>
    </row>
    <row r="50" spans="5:21" ht="15" x14ac:dyDescent="0.2">
      <c r="E50" s="39"/>
      <c r="M50" s="56">
        <v>41494</v>
      </c>
      <c r="N50" s="57">
        <v>227</v>
      </c>
      <c r="O50" s="58">
        <f t="shared" si="0"/>
        <v>5.7899601708972535</v>
      </c>
      <c r="T50" s="85">
        <f>$U$16-$B$38/100</f>
        <v>31.593240000000002</v>
      </c>
      <c r="U50" s="28">
        <f>$X$16</f>
        <v>0</v>
      </c>
    </row>
    <row r="51" spans="5:21" ht="15" x14ac:dyDescent="0.2">
      <c r="E51" s="15"/>
      <c r="M51" s="56">
        <v>41600</v>
      </c>
      <c r="N51" s="57">
        <v>295</v>
      </c>
      <c r="O51" s="58">
        <f t="shared" si="0"/>
        <v>5.978885764901122</v>
      </c>
      <c r="T51" s="85">
        <f>$U$16+$B$38/100</f>
        <v>31.910760000000003</v>
      </c>
      <c r="U51" s="28">
        <f>$X$17</f>
        <v>0</v>
      </c>
    </row>
    <row r="52" spans="5:21" ht="15" x14ac:dyDescent="0.2">
      <c r="E52" s="15"/>
      <c r="M52" s="56">
        <v>41684</v>
      </c>
      <c r="N52" s="57">
        <v>225</v>
      </c>
      <c r="O52" s="58">
        <f t="shared" si="0"/>
        <v>5.7838251823297373</v>
      </c>
      <c r="T52" s="85">
        <f>$U$17-$B$38/100</f>
        <v>47.469239999999999</v>
      </c>
      <c r="U52" s="28">
        <f>$X$17</f>
        <v>0</v>
      </c>
    </row>
    <row r="53" spans="5:21" ht="15" x14ac:dyDescent="0.2">
      <c r="E53" s="15"/>
      <c r="F53" s="15"/>
      <c r="G53" s="15"/>
      <c r="M53" s="56">
        <v>41782</v>
      </c>
      <c r="N53" s="57">
        <v>345</v>
      </c>
      <c r="O53" s="58">
        <f t="shared" si="0"/>
        <v>6.0980742821662401</v>
      </c>
      <c r="T53" s="85">
        <f>$U$17+$B$38/100</f>
        <v>47.786760000000001</v>
      </c>
      <c r="U53" s="28">
        <f>$X$18</f>
        <v>0</v>
      </c>
    </row>
    <row r="54" spans="5:21" ht="15" x14ac:dyDescent="0.2">
      <c r="E54" s="15"/>
      <c r="F54" s="15"/>
      <c r="G54" s="15"/>
      <c r="M54" s="56">
        <v>41880</v>
      </c>
      <c r="N54" s="57">
        <v>339</v>
      </c>
      <c r="O54" s="58">
        <f t="shared" si="0"/>
        <v>6.0844994130751715</v>
      </c>
      <c r="T54" s="85">
        <f>$U$18-$B$38/100</f>
        <v>63.345240000000004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41963</v>
      </c>
      <c r="N55" s="57">
        <v>251</v>
      </c>
      <c r="O55" s="58">
        <f t="shared" si="0"/>
        <v>5.8607862234658654</v>
      </c>
      <c r="T55" s="85">
        <f>$U$18+$B$38/100</f>
        <v>63.662760000000006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42045</v>
      </c>
      <c r="N56" s="57">
        <v>196</v>
      </c>
      <c r="O56" s="58">
        <f t="shared" si="0"/>
        <v>5.6903594543240601</v>
      </c>
      <c r="T56" s="85">
        <f>$U$19-$B$38/100</f>
        <v>79.221240000000009</v>
      </c>
      <c r="U56" s="28">
        <f>$X$19</f>
        <v>0</v>
      </c>
    </row>
    <row r="57" spans="5:21" ht="15" x14ac:dyDescent="0.2">
      <c r="E57" s="70">
        <v>1</v>
      </c>
      <c r="F57" s="74">
        <f>$B$21</f>
        <v>352.74920610719818</v>
      </c>
      <c r="G57" s="74">
        <f>$C$21</f>
        <v>55.332761105916575</v>
      </c>
      <c r="H57" s="74">
        <f>$B$22</f>
        <v>380.54782760754125</v>
      </c>
      <c r="I57" s="74">
        <f>$C$22</f>
        <v>27.5341396055735</v>
      </c>
      <c r="J57" s="74">
        <f>$B$31</f>
        <v>342.22668777459631</v>
      </c>
      <c r="K57" s="74">
        <f>$B$32</f>
        <v>389.01321607791635</v>
      </c>
      <c r="M57" s="56">
        <v>42145</v>
      </c>
      <c r="N57" s="57">
        <v>222</v>
      </c>
      <c r="O57" s="58">
        <f t="shared" si="0"/>
        <v>5.7745515455444085</v>
      </c>
      <c r="T57" s="85">
        <f>$U$19+$B$38/100</f>
        <v>79.538760000000011</v>
      </c>
      <c r="U57" s="28">
        <f>$X$20</f>
        <v>1.0325927578074339E-3</v>
      </c>
    </row>
    <row r="58" spans="5:21" ht="15" x14ac:dyDescent="0.2">
      <c r="E58" s="70">
        <v>51501</v>
      </c>
      <c r="F58" s="74">
        <f>$B$21</f>
        <v>352.74920610719818</v>
      </c>
      <c r="G58" s="74">
        <f>$C$21</f>
        <v>55.332761105916575</v>
      </c>
      <c r="H58" s="74">
        <f>$B$22</f>
        <v>380.54782760754125</v>
      </c>
      <c r="I58" s="74">
        <f>$C$22</f>
        <v>27.5341396055735</v>
      </c>
      <c r="J58" s="74">
        <f>$B$31</f>
        <v>342.22668777459631</v>
      </c>
      <c r="K58" s="74">
        <f>$B$32</f>
        <v>389.01321607791635</v>
      </c>
      <c r="M58" s="56">
        <v>42236</v>
      </c>
      <c r="N58" s="57">
        <v>319</v>
      </c>
      <c r="O58" s="58">
        <f t="shared" si="0"/>
        <v>6.0378709199221374</v>
      </c>
      <c r="T58" s="85">
        <f>$U$20-$B$38/100</f>
        <v>95.097239999999999</v>
      </c>
      <c r="U58" s="28">
        <f>$X$20</f>
        <v>1.0325927578074339E-3</v>
      </c>
    </row>
    <row r="59" spans="5:21" ht="15" x14ac:dyDescent="0.2">
      <c r="M59" s="56">
        <v>42327</v>
      </c>
      <c r="N59" s="57">
        <v>357</v>
      </c>
      <c r="O59" s="58">
        <f t="shared" si="0"/>
        <v>6.1246833908942051</v>
      </c>
      <c r="T59" s="85">
        <f>$U$20+$B$38/100</f>
        <v>95.414760000000001</v>
      </c>
      <c r="U59" s="28">
        <f>$X$21</f>
        <v>1.0325927578074339E-3</v>
      </c>
    </row>
    <row r="60" spans="5:21" ht="15" x14ac:dyDescent="0.2">
      <c r="M60" s="56">
        <v>42417</v>
      </c>
      <c r="N60" s="57">
        <v>330</v>
      </c>
      <c r="O60" s="58">
        <f t="shared" si="0"/>
        <v>6.0637852086876078</v>
      </c>
      <c r="T60" s="85">
        <f>$U$21-$B$38/100</f>
        <v>110.97324</v>
      </c>
      <c r="U60" s="28">
        <f>$X$21</f>
        <v>1.0325927578074339E-3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42502</v>
      </c>
      <c r="N61" s="57">
        <v>143</v>
      </c>
      <c r="O61" s="58">
        <f t="shared" si="0"/>
        <v>5.4930614433405482</v>
      </c>
      <c r="T61" s="85">
        <f>$U$21+$B$38/100</f>
        <v>111.29076000000001</v>
      </c>
      <c r="U61" s="28">
        <f>$X$22</f>
        <v>3.0977782734223011E-3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42607</v>
      </c>
      <c r="N62" s="57">
        <v>205</v>
      </c>
      <c r="O62" s="58">
        <f t="shared" si="0"/>
        <v>5.7203117766074119</v>
      </c>
      <c r="T62" s="85">
        <f>$U$22-$B$38/100</f>
        <v>126.84924000000001</v>
      </c>
      <c r="U62" s="28">
        <f>$X$22</f>
        <v>3.0977782734223011E-3</v>
      </c>
    </row>
    <row r="63" spans="5:21" ht="15" x14ac:dyDescent="0.2">
      <c r="E63" s="72">
        <v>-5</v>
      </c>
      <c r="F63" s="73">
        <f>$B$16+$E63*$B$17</f>
        <v>-175.32369776930543</v>
      </c>
      <c r="G63" s="73">
        <f>NORMDIST($F63,$B$16,$B$17,FALSE)</f>
        <v>1.9594859349351264E-8</v>
      </c>
      <c r="H63" s="73">
        <f>EXP($R$26+$E63*$R$27)</f>
        <v>86.274619889038988</v>
      </c>
      <c r="I63" s="73">
        <f t="shared" ref="I63:I113" si="5">H63-$B$26</f>
        <v>-13.725380110961012</v>
      </c>
      <c r="J63" s="73">
        <f>1/$H63/SQRT(2*PI())/$R$27*EXP(-POWER(LN($H63)-$R$26,2)/2/POWER($R$27,2))</f>
        <v>7.0065308527948838E-8</v>
      </c>
      <c r="K63" s="73">
        <f>LOGNORMDIST($H63,$R$26,$R$27)</f>
        <v>2.8665157187919084E-7</v>
      </c>
      <c r="M63" s="56">
        <v>42699</v>
      </c>
      <c r="N63" s="57">
        <v>126</v>
      </c>
      <c r="O63" s="58">
        <f t="shared" si="0"/>
        <v>5.4205349992722862</v>
      </c>
      <c r="T63" s="85">
        <f>$U$22+$B$38/100</f>
        <v>127.16676000000001</v>
      </c>
      <c r="U63" s="28">
        <f>$X$23</f>
        <v>2.0651855156148678E-3</v>
      </c>
    </row>
    <row r="64" spans="5:21" ht="15" x14ac:dyDescent="0.2">
      <c r="E64" s="72">
        <v>-4.8</v>
      </c>
      <c r="F64" s="73">
        <f t="shared" ref="F64:F113" si="6">$B$16+$E64*$B$17</f>
        <v>-160.14911051427092</v>
      </c>
      <c r="G64" s="73">
        <f t="shared" ref="G64:G113" si="7">NORMDIST($F64,$B$16,$B$17,FALSE)</f>
        <v>5.2209645303107992E-8</v>
      </c>
      <c r="H64" s="73">
        <f t="shared" ref="H64:H113" si="8">EXP($R$26+$E64*$R$27)</f>
        <v>90.624538787028982</v>
      </c>
      <c r="I64" s="73">
        <f t="shared" si="5"/>
        <v>-9.3754612129710182</v>
      </c>
      <c r="J64" s="73">
        <f t="shared" ref="J64:J113" si="9">1/$H64/SQRT(2*PI())/$R$27*EXP(-POWER(LN($H64)-$R$26,2)/2/POWER($R$27,2))</f>
        <v>1.7772514457981444E-7</v>
      </c>
      <c r="K64" s="73">
        <f t="shared" ref="K64:K113" si="10">LOGNORMDIST($H64,$R$26,$R$27)</f>
        <v>7.933281519755875E-7</v>
      </c>
      <c r="M64" s="56"/>
      <c r="N64" s="57"/>
      <c r="O64" s="58" t="b">
        <f t="shared" si="0"/>
        <v>0</v>
      </c>
      <c r="T64" s="85">
        <f>$U$23-$B$38/100</f>
        <v>142.72524000000001</v>
      </c>
      <c r="U64" s="28">
        <f>$X$23</f>
        <v>2.0651855156148678E-3</v>
      </c>
    </row>
    <row r="65" spans="5:21" ht="15" x14ac:dyDescent="0.2">
      <c r="E65" s="72">
        <v>-4.5999999999999996</v>
      </c>
      <c r="F65" s="73">
        <f t="shared" si="6"/>
        <v>-144.97452325923641</v>
      </c>
      <c r="G65" s="73">
        <f t="shared" si="7"/>
        <v>1.3365572183351876E-7</v>
      </c>
      <c r="H65" s="73">
        <f t="shared" si="8"/>
        <v>95.193778204117478</v>
      </c>
      <c r="I65" s="73">
        <f t="shared" si="5"/>
        <v>-4.8062217958825215</v>
      </c>
      <c r="J65" s="73">
        <f t="shared" si="9"/>
        <v>4.3313465646774691E-7</v>
      </c>
      <c r="K65" s="73">
        <f t="shared" si="10"/>
        <v>2.1124547025028334E-6</v>
      </c>
      <c r="M65" s="56"/>
      <c r="N65" s="57"/>
      <c r="O65" s="58" t="b">
        <f t="shared" si="0"/>
        <v>0</v>
      </c>
      <c r="T65" s="85">
        <f>$U$23+$B$38/100</f>
        <v>143.04276000000002</v>
      </c>
      <c r="U65" s="28">
        <f>$X$24</f>
        <v>5.1629637890371685E-3</v>
      </c>
    </row>
    <row r="66" spans="5:21" ht="15" x14ac:dyDescent="0.2">
      <c r="E66" s="72">
        <v>-4.4000000000000004</v>
      </c>
      <c r="F66" s="73">
        <f t="shared" si="6"/>
        <v>-129.79993600420195</v>
      </c>
      <c r="G66" s="73">
        <f t="shared" si="7"/>
        <v>3.2874002924564958E-7</v>
      </c>
      <c r="H66" s="73">
        <f t="shared" si="8"/>
        <v>99.993396160287304</v>
      </c>
      <c r="I66" s="73">
        <f t="shared" si="5"/>
        <v>-6.603839712695958E-3</v>
      </c>
      <c r="J66" s="73">
        <f t="shared" si="9"/>
        <v>1.0142037530157501E-6</v>
      </c>
      <c r="K66" s="73">
        <f t="shared" si="10"/>
        <v>5.412543907703823E-6</v>
      </c>
      <c r="M66" s="56"/>
      <c r="N66" s="57"/>
      <c r="O66" s="58" t="b">
        <f t="shared" si="0"/>
        <v>0</v>
      </c>
      <c r="T66" s="85">
        <f>$U$24-$B$38/100</f>
        <v>158.60124000000002</v>
      </c>
      <c r="U66" s="28">
        <f>$X$24</f>
        <v>5.1629637890371685E-3</v>
      </c>
    </row>
    <row r="67" spans="5:21" ht="15" x14ac:dyDescent="0.2">
      <c r="E67" s="72">
        <v>-4.2</v>
      </c>
      <c r="F67" s="73">
        <f t="shared" si="6"/>
        <v>-114.62534874916739</v>
      </c>
      <c r="G67" s="73">
        <f t="shared" si="7"/>
        <v>7.7686551556101351E-7</v>
      </c>
      <c r="H67" s="73">
        <f t="shared" si="8"/>
        <v>105.03500821480873</v>
      </c>
      <c r="I67" s="73">
        <f t="shared" si="5"/>
        <v>5.0350082148087267</v>
      </c>
      <c r="J67" s="73">
        <f t="shared" si="9"/>
        <v>2.2816851345998045E-6</v>
      </c>
      <c r="K67" s="73">
        <f t="shared" si="10"/>
        <v>1.3345749015906261E-5</v>
      </c>
      <c r="M67" s="56"/>
      <c r="N67" s="57"/>
      <c r="O67" s="58" t="b">
        <f t="shared" ref="O67:O130" si="11">IF($N67&gt;0,LN($N67+$B$26))</f>
        <v>0</v>
      </c>
      <c r="T67" s="85">
        <f>$U$24+$B$38/100</f>
        <v>158.91876000000002</v>
      </c>
      <c r="U67" s="28">
        <f>$X$25</f>
        <v>4.1303710312297357E-3</v>
      </c>
    </row>
    <row r="68" spans="5:21" ht="15" x14ac:dyDescent="0.2">
      <c r="E68" s="72">
        <v>-4</v>
      </c>
      <c r="F68" s="73">
        <f t="shared" si="6"/>
        <v>-99.450761494132877</v>
      </c>
      <c r="G68" s="73">
        <f t="shared" si="7"/>
        <v>1.7638730268658103E-6</v>
      </c>
      <c r="H68" s="73">
        <f t="shared" si="8"/>
        <v>110.33081557706379</v>
      </c>
      <c r="I68" s="73">
        <f t="shared" si="5"/>
        <v>10.330815577063788</v>
      </c>
      <c r="J68" s="73">
        <f t="shared" si="9"/>
        <v>4.9319019431673281E-6</v>
      </c>
      <c r="K68" s="73">
        <f t="shared" si="10"/>
        <v>3.1671241833119619E-5</v>
      </c>
      <c r="M68" s="56"/>
      <c r="N68" s="57"/>
      <c r="O68" s="58" t="b">
        <f t="shared" si="11"/>
        <v>0</v>
      </c>
      <c r="T68" s="85">
        <f>$U$25-$B$38/100</f>
        <v>174.47724000000002</v>
      </c>
      <c r="U68" s="28">
        <f>$X$25</f>
        <v>4.1303710312297357E-3</v>
      </c>
    </row>
    <row r="69" spans="5:21" ht="15" x14ac:dyDescent="0.2">
      <c r="E69" s="72">
        <v>-3.8</v>
      </c>
      <c r="F69" s="73">
        <f t="shared" si="6"/>
        <v>-84.276174239098367</v>
      </c>
      <c r="G69" s="73">
        <f t="shared" si="7"/>
        <v>3.8478400879681299E-6</v>
      </c>
      <c r="H69" s="73">
        <f t="shared" si="8"/>
        <v>115.89363463470292</v>
      </c>
      <c r="I69" s="73">
        <f t="shared" si="5"/>
        <v>15.89363463470292</v>
      </c>
      <c r="J69" s="73">
        <f t="shared" si="9"/>
        <v>1.0242391554618847E-5</v>
      </c>
      <c r="K69" s="73">
        <f t="shared" si="10"/>
        <v>7.234804392511957E-5</v>
      </c>
      <c r="M69" s="56"/>
      <c r="N69" s="57"/>
      <c r="O69" s="58" t="b">
        <f t="shared" si="11"/>
        <v>0</v>
      </c>
      <c r="T69" s="85">
        <f>$U$25+$B$38/100</f>
        <v>174.79476000000003</v>
      </c>
      <c r="U69" s="28">
        <f>$X$26</f>
        <v>1.0325927578074337E-2</v>
      </c>
    </row>
    <row r="70" spans="5:21" ht="15" x14ac:dyDescent="0.2">
      <c r="E70" s="72">
        <v>-3.6</v>
      </c>
      <c r="F70" s="73">
        <f t="shared" si="6"/>
        <v>-69.101586984063857</v>
      </c>
      <c r="G70" s="73">
        <f t="shared" si="7"/>
        <v>8.0648246944675159E-6</v>
      </c>
      <c r="H70" s="73">
        <f t="shared" si="8"/>
        <v>121.73692797059496</v>
      </c>
      <c r="I70" s="73">
        <f t="shared" si="5"/>
        <v>21.736927970594962</v>
      </c>
      <c r="J70" s="73">
        <f t="shared" si="9"/>
        <v>2.043697135397961E-5</v>
      </c>
      <c r="K70" s="73">
        <f t="shared" si="10"/>
        <v>1.5910859015753293E-4</v>
      </c>
      <c r="M70" s="56"/>
      <c r="N70" s="57"/>
      <c r="O70" s="58" t="b">
        <f t="shared" si="11"/>
        <v>0</v>
      </c>
      <c r="T70" s="85">
        <f>$U$26-$B$38/100</f>
        <v>190.35324</v>
      </c>
      <c r="U70" s="28">
        <f>$X$26</f>
        <v>1.0325927578074337E-2</v>
      </c>
    </row>
    <row r="71" spans="5:21" ht="15" x14ac:dyDescent="0.2">
      <c r="E71" s="72">
        <v>-3.4</v>
      </c>
      <c r="F71" s="73">
        <f t="shared" si="6"/>
        <v>-53.926999729029347</v>
      </c>
      <c r="G71" s="73">
        <f t="shared" si="7"/>
        <v>1.6240562563758737E-5</v>
      </c>
      <c r="H71" s="73">
        <f t="shared" si="8"/>
        <v>127.87483694363485</v>
      </c>
      <c r="I71" s="73">
        <f t="shared" si="5"/>
        <v>27.874836943634847</v>
      </c>
      <c r="J71" s="73">
        <f t="shared" si="9"/>
        <v>3.9179592866557068E-5</v>
      </c>
      <c r="K71" s="73">
        <f t="shared" si="10"/>
        <v>3.3692926567687918E-4</v>
      </c>
      <c r="M71" s="56"/>
      <c r="N71" s="57"/>
      <c r="O71" s="58" t="b">
        <f t="shared" si="11"/>
        <v>0</v>
      </c>
      <c r="T71" s="85">
        <f>$U$26+$B$38/100</f>
        <v>190.67076</v>
      </c>
      <c r="U71" s="28">
        <f>$X$27</f>
        <v>7.2281493046520368E-3</v>
      </c>
    </row>
    <row r="72" spans="5:21" ht="15" x14ac:dyDescent="0.2">
      <c r="E72" s="72">
        <v>-3.2</v>
      </c>
      <c r="F72" s="73">
        <f t="shared" si="6"/>
        <v>-38.752412473994838</v>
      </c>
      <c r="G72" s="73">
        <f t="shared" si="7"/>
        <v>3.142211595473696E-5</v>
      </c>
      <c r="H72" s="73">
        <f t="shared" si="8"/>
        <v>134.32221591225752</v>
      </c>
      <c r="I72" s="73">
        <f t="shared" si="5"/>
        <v>34.322215912257519</v>
      </c>
      <c r="J72" s="73">
        <f t="shared" si="9"/>
        <v>7.2165815219156433E-5</v>
      </c>
      <c r="K72" s="73">
        <f t="shared" si="10"/>
        <v>6.8713793791584557E-4</v>
      </c>
      <c r="M72" s="56"/>
      <c r="N72" s="57"/>
      <c r="O72" s="58" t="b">
        <f t="shared" si="11"/>
        <v>0</v>
      </c>
      <c r="T72" s="85">
        <f>$U$27-$B$38/100</f>
        <v>206.22924</v>
      </c>
      <c r="U72" s="28">
        <f>$X$27</f>
        <v>7.2281493046520368E-3</v>
      </c>
    </row>
    <row r="73" spans="5:21" ht="15" x14ac:dyDescent="0.2">
      <c r="E73" s="72">
        <v>-3</v>
      </c>
      <c r="F73" s="73">
        <f t="shared" si="6"/>
        <v>-23.577825218960328</v>
      </c>
      <c r="G73" s="73">
        <f t="shared" si="7"/>
        <v>5.8411452482407934E-5</v>
      </c>
      <c r="H73" s="73">
        <f t="shared" si="8"/>
        <v>141.09466818348281</v>
      </c>
      <c r="I73" s="73">
        <f t="shared" si="5"/>
        <v>41.09466818348281</v>
      </c>
      <c r="J73" s="73">
        <f t="shared" si="9"/>
        <v>1.2771189409386269E-4</v>
      </c>
      <c r="K73" s="73">
        <f t="shared" si="10"/>
        <v>1.3498980316300902E-3</v>
      </c>
      <c r="M73" s="56"/>
      <c r="N73" s="57"/>
      <c r="O73" s="58" t="b">
        <f t="shared" si="11"/>
        <v>0</v>
      </c>
      <c r="T73" s="85">
        <f>$U$27+$B$38/100</f>
        <v>206.54676000000001</v>
      </c>
      <c r="U73" s="28">
        <f>$X$28</f>
        <v>5.1629637890371685E-3</v>
      </c>
    </row>
    <row r="74" spans="5:21" ht="15" x14ac:dyDescent="0.2">
      <c r="E74" s="72">
        <v>-2.8</v>
      </c>
      <c r="F74" s="73">
        <f t="shared" si="6"/>
        <v>-8.4032379639257897</v>
      </c>
      <c r="G74" s="73">
        <f t="shared" si="7"/>
        <v>1.0432509892951241E-4</v>
      </c>
      <c r="H74" s="73">
        <f t="shared" si="8"/>
        <v>148.20858377449122</v>
      </c>
      <c r="I74" s="73">
        <f t="shared" si="5"/>
        <v>48.208583774491217</v>
      </c>
      <c r="J74" s="73">
        <f t="shared" si="9"/>
        <v>2.1714977848107903E-4</v>
      </c>
      <c r="K74" s="73">
        <f t="shared" si="10"/>
        <v>2.5551303304279203E-3</v>
      </c>
      <c r="M74" s="56"/>
      <c r="N74" s="57"/>
      <c r="O74" s="58" t="b">
        <f t="shared" si="11"/>
        <v>0</v>
      </c>
      <c r="T74" s="85">
        <f>$U$28-$B$38/100</f>
        <v>222.10524000000001</v>
      </c>
      <c r="U74" s="28">
        <f>$X$28</f>
        <v>5.1629637890371685E-3</v>
      </c>
    </row>
    <row r="75" spans="5:21" ht="15" x14ac:dyDescent="0.2">
      <c r="E75" s="72">
        <v>-2.6</v>
      </c>
      <c r="F75" s="73">
        <f t="shared" si="6"/>
        <v>6.7713492911086917</v>
      </c>
      <c r="G75" s="73">
        <f t="shared" si="7"/>
        <v>1.7902258566115736E-4</v>
      </c>
      <c r="H75" s="73">
        <f t="shared" si="8"/>
        <v>155.68117907811768</v>
      </c>
      <c r="I75" s="73">
        <f t="shared" si="5"/>
        <v>55.68117907811768</v>
      </c>
      <c r="J75" s="73">
        <f t="shared" si="9"/>
        <v>3.5474448796331861E-4</v>
      </c>
      <c r="K75" s="73">
        <f t="shared" si="10"/>
        <v>4.6611880237187337E-3</v>
      </c>
      <c r="M75" s="56"/>
      <c r="N75" s="57"/>
      <c r="O75" s="58" t="b">
        <f t="shared" si="11"/>
        <v>0</v>
      </c>
      <c r="T75" s="85">
        <f>$U$28+$B$38/100</f>
        <v>222.42276000000001</v>
      </c>
      <c r="U75" s="28">
        <f>$X$29</f>
        <v>3.0977782734223011E-3</v>
      </c>
    </row>
    <row r="76" spans="5:21" ht="15" x14ac:dyDescent="0.2">
      <c r="E76" s="72">
        <v>-2.4</v>
      </c>
      <c r="F76" s="73">
        <f t="shared" si="6"/>
        <v>21.94593654614323</v>
      </c>
      <c r="G76" s="73">
        <f t="shared" si="7"/>
        <v>2.9515834491528601E-4</v>
      </c>
      <c r="H76" s="73">
        <f t="shared" si="8"/>
        <v>163.53053852825769</v>
      </c>
      <c r="I76" s="73">
        <f t="shared" si="5"/>
        <v>63.530538528257694</v>
      </c>
      <c r="J76" s="73">
        <f t="shared" si="9"/>
        <v>5.5680117392812927E-4</v>
      </c>
      <c r="K76" s="73">
        <f t="shared" si="10"/>
        <v>8.1975359245961103E-3</v>
      </c>
      <c r="M76" s="56"/>
      <c r="N76" s="57"/>
      <c r="O76" s="58" t="b">
        <f t="shared" si="11"/>
        <v>0</v>
      </c>
      <c r="T76" s="85">
        <f>$U$29-$B$38/100</f>
        <v>237.98124000000001</v>
      </c>
      <c r="U76" s="28">
        <f>$X$29</f>
        <v>3.0977782734223011E-3</v>
      </c>
    </row>
    <row r="77" spans="5:21" ht="15" x14ac:dyDescent="0.2">
      <c r="E77" s="72">
        <v>-2.2000000000000002</v>
      </c>
      <c r="F77" s="73">
        <f t="shared" si="6"/>
        <v>37.120523801177711</v>
      </c>
      <c r="G77" s="73">
        <f t="shared" si="7"/>
        <v>4.6755265563433262E-4</v>
      </c>
      <c r="H77" s="73">
        <f t="shared" si="8"/>
        <v>171.77565836602037</v>
      </c>
      <c r="I77" s="73">
        <f t="shared" si="5"/>
        <v>71.775658366020366</v>
      </c>
      <c r="J77" s="73">
        <f t="shared" si="9"/>
        <v>8.3967814409328142E-4</v>
      </c>
      <c r="K77" s="73">
        <f t="shared" si="10"/>
        <v>1.3903447513498582E-2</v>
      </c>
      <c r="L77" s="16"/>
      <c r="M77" s="56"/>
      <c r="N77" s="57"/>
      <c r="O77" s="58" t="b">
        <f t="shared" si="11"/>
        <v>0</v>
      </c>
      <c r="T77" s="85">
        <f>$U$29+$B$38/100</f>
        <v>238.29876000000002</v>
      </c>
      <c r="U77" s="28">
        <f>$X$30</f>
        <v>2.0651855156148678E-3</v>
      </c>
    </row>
    <row r="78" spans="5:21" ht="15" x14ac:dyDescent="0.2">
      <c r="E78" s="72">
        <v>-2</v>
      </c>
      <c r="F78" s="73">
        <f t="shared" si="6"/>
        <v>52.295111056212249</v>
      </c>
      <c r="G78" s="73">
        <f t="shared" si="7"/>
        <v>7.1159716710285262E-4</v>
      </c>
      <c r="H78" s="73">
        <f t="shared" si="8"/>
        <v>180.4364926125466</v>
      </c>
      <c r="I78" s="73">
        <f t="shared" si="5"/>
        <v>80.436492612546601</v>
      </c>
      <c r="J78" s="73">
        <f t="shared" si="9"/>
        <v>1.2166167088800326E-3</v>
      </c>
      <c r="K78" s="73">
        <f t="shared" si="10"/>
        <v>2.2750131948179153E-2</v>
      </c>
      <c r="L78" s="16"/>
      <c r="M78" s="56"/>
      <c r="N78" s="57"/>
      <c r="O78" s="58" t="b">
        <f t="shared" si="11"/>
        <v>0</v>
      </c>
      <c r="T78" s="85">
        <f>$U$30-$B$38/100</f>
        <v>253.85724000000002</v>
      </c>
      <c r="U78" s="28">
        <f>$X$30</f>
        <v>2.0651855156148678E-3</v>
      </c>
    </row>
    <row r="79" spans="5:21" ht="15" x14ac:dyDescent="0.2">
      <c r="E79" s="72">
        <v>-1.8</v>
      </c>
      <c r="F79" s="73">
        <f t="shared" si="6"/>
        <v>67.469698311246759</v>
      </c>
      <c r="G79" s="73">
        <f t="shared" si="7"/>
        <v>1.040557571339552E-3</v>
      </c>
      <c r="H79" s="73">
        <f t="shared" si="8"/>
        <v>189.53400135975193</v>
      </c>
      <c r="I79" s="73">
        <f t="shared" si="5"/>
        <v>89.534001359751926</v>
      </c>
      <c r="J79" s="73">
        <f t="shared" si="9"/>
        <v>1.6936471086518782E-3</v>
      </c>
      <c r="K79" s="73">
        <f t="shared" si="10"/>
        <v>3.593031911292574E-2</v>
      </c>
      <c r="L79" s="16"/>
      <c r="M79" s="56"/>
      <c r="N79" s="57"/>
      <c r="O79" s="58" t="b">
        <f t="shared" si="11"/>
        <v>0</v>
      </c>
      <c r="T79" s="85">
        <f>$U$30+$B$38/100</f>
        <v>254.17476000000002</v>
      </c>
      <c r="U79" s="28">
        <f>$X$31</f>
        <v>3.0977782734223011E-3</v>
      </c>
    </row>
    <row r="80" spans="5:21" ht="15" x14ac:dyDescent="0.2">
      <c r="E80" s="72">
        <v>-1.6</v>
      </c>
      <c r="F80" s="73">
        <f t="shared" si="6"/>
        <v>82.644285566281269</v>
      </c>
      <c r="G80" s="73">
        <f t="shared" si="7"/>
        <v>1.4619288526962083E-3</v>
      </c>
      <c r="H80" s="73">
        <f t="shared" si="8"/>
        <v>199.09020149586161</v>
      </c>
      <c r="I80" s="73">
        <f t="shared" si="5"/>
        <v>99.090201495861606</v>
      </c>
      <c r="J80" s="73">
        <f t="shared" si="9"/>
        <v>2.2652716723704411E-3</v>
      </c>
      <c r="K80" s="73">
        <f t="shared" si="10"/>
        <v>5.4799291699557925E-2</v>
      </c>
      <c r="L80" s="16"/>
      <c r="M80" s="56"/>
      <c r="N80" s="57"/>
      <c r="O80" s="58" t="b">
        <f t="shared" si="11"/>
        <v>0</v>
      </c>
      <c r="T80" s="85">
        <f>$U$31-$B$38/100</f>
        <v>269.73324000000002</v>
      </c>
      <c r="U80" s="28">
        <f>$X$31</f>
        <v>3.0977782734223011E-3</v>
      </c>
    </row>
    <row r="81" spans="5:21" ht="15" x14ac:dyDescent="0.2">
      <c r="E81" s="72">
        <v>-1.4</v>
      </c>
      <c r="F81" s="73">
        <f t="shared" si="6"/>
        <v>97.818872821315793</v>
      </c>
      <c r="G81" s="73">
        <f t="shared" si="7"/>
        <v>1.9733975378614585E-3</v>
      </c>
      <c r="H81" s="73">
        <f t="shared" si="8"/>
        <v>209.12821998849955</v>
      </c>
      <c r="I81" s="73">
        <f t="shared" si="5"/>
        <v>109.12821998849955</v>
      </c>
      <c r="J81" s="73">
        <f t="shared" si="9"/>
        <v>2.9110246559330868E-3</v>
      </c>
      <c r="K81" s="73">
        <f t="shared" si="10"/>
        <v>8.0756659233770928E-2</v>
      </c>
      <c r="L81" s="14"/>
      <c r="M81" s="56"/>
      <c r="N81" s="57"/>
      <c r="O81" s="58" t="b">
        <f t="shared" si="11"/>
        <v>0</v>
      </c>
      <c r="T81" s="85">
        <f>$U$31+$B$38/100</f>
        <v>270.05075999999997</v>
      </c>
      <c r="U81" s="28">
        <f>$X$32</f>
        <v>2.0651855156148678E-3</v>
      </c>
    </row>
    <row r="82" spans="5:21" ht="15" x14ac:dyDescent="0.2">
      <c r="E82" s="72">
        <v>-1.2</v>
      </c>
      <c r="F82" s="73">
        <f t="shared" si="6"/>
        <v>112.9934600763503</v>
      </c>
      <c r="G82" s="73">
        <f t="shared" si="7"/>
        <v>2.5593586398046822E-3</v>
      </c>
      <c r="H82" s="73">
        <f t="shared" si="8"/>
        <v>219.67234985428126</v>
      </c>
      <c r="I82" s="73">
        <f t="shared" si="5"/>
        <v>119.67234985428126</v>
      </c>
      <c r="J82" s="73">
        <f t="shared" si="9"/>
        <v>3.5941789336753644E-3</v>
      </c>
      <c r="K82" s="73">
        <f t="shared" si="10"/>
        <v>0.11506967022170819</v>
      </c>
      <c r="L82" s="14"/>
      <c r="M82" s="56"/>
      <c r="N82" s="57"/>
      <c r="O82" s="58" t="b">
        <f t="shared" si="11"/>
        <v>0</v>
      </c>
      <c r="T82" s="85">
        <f>$U$32-$B$38/100</f>
        <v>285.60924000000006</v>
      </c>
      <c r="U82" s="28">
        <f>$X$32</f>
        <v>2.0651855156148678E-3</v>
      </c>
    </row>
    <row r="83" spans="5:21" ht="15" x14ac:dyDescent="0.2">
      <c r="E83" s="72">
        <v>-1</v>
      </c>
      <c r="F83" s="73">
        <f t="shared" si="6"/>
        <v>128.1680473313848</v>
      </c>
      <c r="G83" s="73">
        <f t="shared" si="7"/>
        <v>3.1891572462883835E-3</v>
      </c>
      <c r="H83" s="73">
        <f t="shared" si="8"/>
        <v>230.74810895036288</v>
      </c>
      <c r="I83" s="73">
        <f t="shared" si="5"/>
        <v>130.74810895036288</v>
      </c>
      <c r="J83" s="73">
        <f t="shared" si="9"/>
        <v>4.263651757511931E-3</v>
      </c>
      <c r="K83" s="73">
        <f t="shared" si="10"/>
        <v>0.15865525393145691</v>
      </c>
      <c r="L83" s="14"/>
      <c r="M83" s="56"/>
      <c r="N83" s="57"/>
      <c r="O83" s="58" t="b">
        <f t="shared" si="11"/>
        <v>0</v>
      </c>
      <c r="T83" s="85">
        <f>$U$32+$B$38/100</f>
        <v>285.92676</v>
      </c>
      <c r="U83" s="28">
        <f>$X$33</f>
        <v>1.0325927578074339E-3</v>
      </c>
    </row>
    <row r="84" spans="5:21" ht="15" x14ac:dyDescent="0.2">
      <c r="E84" s="72">
        <v>-0.8</v>
      </c>
      <c r="F84" s="73">
        <f t="shared" si="6"/>
        <v>143.34263458641931</v>
      </c>
      <c r="G84" s="73">
        <f t="shared" si="7"/>
        <v>3.818114428982191E-3</v>
      </c>
      <c r="H84" s="73">
        <f t="shared" si="8"/>
        <v>242.38230173022765</v>
      </c>
      <c r="I84" s="73">
        <f t="shared" si="5"/>
        <v>142.38230173022765</v>
      </c>
      <c r="J84" s="73">
        <f t="shared" si="9"/>
        <v>4.8595043757013786E-3</v>
      </c>
      <c r="K84" s="73">
        <f t="shared" si="10"/>
        <v>0.21185539858339658</v>
      </c>
      <c r="M84" s="56"/>
      <c r="N84" s="57"/>
      <c r="O84" s="58" t="b">
        <f t="shared" si="11"/>
        <v>0</v>
      </c>
      <c r="T84" s="85">
        <f>$U$33-$B$38/100</f>
        <v>301.48524000000003</v>
      </c>
      <c r="U84" s="28">
        <f>$X$33</f>
        <v>1.0325927578074339E-3</v>
      </c>
    </row>
    <row r="85" spans="5:21" ht="15" x14ac:dyDescent="0.2">
      <c r="E85" s="72">
        <v>-0.6</v>
      </c>
      <c r="F85" s="73">
        <f t="shared" si="6"/>
        <v>158.51722184145385</v>
      </c>
      <c r="G85" s="73">
        <f t="shared" si="7"/>
        <v>4.3918769886969397E-3</v>
      </c>
      <c r="H85" s="73">
        <f t="shared" si="8"/>
        <v>254.60308411316552</v>
      </c>
      <c r="I85" s="73">
        <f t="shared" si="5"/>
        <v>154.60308411316552</v>
      </c>
      <c r="J85" s="73">
        <f t="shared" si="9"/>
        <v>5.321455688890666E-3</v>
      </c>
      <c r="K85" s="73">
        <f t="shared" si="10"/>
        <v>0.27425311775007349</v>
      </c>
      <c r="M85" s="56"/>
      <c r="N85" s="57"/>
      <c r="O85" s="58" t="b">
        <f t="shared" si="11"/>
        <v>0</v>
      </c>
      <c r="T85" s="85">
        <f>$U$33+$B$38/100</f>
        <v>301.80275999999998</v>
      </c>
      <c r="U85" s="28">
        <f>$X$34</f>
        <v>3.0977782734223011E-3</v>
      </c>
    </row>
    <row r="86" spans="5:21" ht="15" x14ac:dyDescent="0.2">
      <c r="E86" s="72">
        <v>-0.4</v>
      </c>
      <c r="F86" s="73">
        <f t="shared" si="6"/>
        <v>173.69180909648836</v>
      </c>
      <c r="G86" s="73">
        <f t="shared" si="7"/>
        <v>4.8537747236735073E-3</v>
      </c>
      <c r="H86" s="73">
        <f t="shared" si="8"/>
        <v>267.44003162443585</v>
      </c>
      <c r="I86" s="73">
        <f t="shared" si="5"/>
        <v>167.44003162443585</v>
      </c>
      <c r="J86" s="73">
        <f t="shared" si="9"/>
        <v>5.5988282283491618E-3</v>
      </c>
      <c r="K86" s="73">
        <f t="shared" si="10"/>
        <v>0.34457825838967571</v>
      </c>
      <c r="M86" s="56"/>
      <c r="N86" s="57"/>
      <c r="O86" s="58" t="b">
        <f t="shared" si="11"/>
        <v>0</v>
      </c>
      <c r="T86" s="85">
        <f>$U$34-$B$38/100</f>
        <v>317.36124000000007</v>
      </c>
      <c r="U86" s="28">
        <f>$X$34</f>
        <v>3.0977782734223011E-3</v>
      </c>
    </row>
    <row r="87" spans="5:21" ht="15" x14ac:dyDescent="0.2">
      <c r="E87" s="72">
        <v>-0.2</v>
      </c>
      <c r="F87" s="73">
        <f t="shared" si="6"/>
        <v>188.86639635152287</v>
      </c>
      <c r="G87" s="73">
        <f t="shared" si="7"/>
        <v>5.1539153902946345E-3</v>
      </c>
      <c r="H87" s="73">
        <f t="shared" si="8"/>
        <v>280.92421097101993</v>
      </c>
      <c r="I87" s="73">
        <f t="shared" si="5"/>
        <v>180.92421097101993</v>
      </c>
      <c r="J87" s="73">
        <f t="shared" si="9"/>
        <v>5.6596823580882284E-3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317.67876000000001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204.04098360655738</v>
      </c>
      <c r="G88" s="73">
        <f t="shared" si="7"/>
        <v>5.2580313875631056E-3</v>
      </c>
      <c r="H88" s="73">
        <f t="shared" si="8"/>
        <v>295.08825522618355</v>
      </c>
      <c r="I88" s="73">
        <f t="shared" si="5"/>
        <v>195.08825522618355</v>
      </c>
      <c r="J88" s="73">
        <f t="shared" si="9"/>
        <v>5.4968665374018318E-3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333.23724000000004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219.21557086159189</v>
      </c>
      <c r="G89" s="73">
        <f t="shared" si="7"/>
        <v>5.1539153902946345E-3</v>
      </c>
      <c r="H89" s="73">
        <f t="shared" si="8"/>
        <v>309.96644280480359</v>
      </c>
      <c r="I89" s="73">
        <f t="shared" si="5"/>
        <v>209.96644280480359</v>
      </c>
      <c r="J89" s="73">
        <f t="shared" si="9"/>
        <v>5.1293997711674153E-3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333.55475999999999</v>
      </c>
      <c r="U89" s="28">
        <f>$X$36</f>
        <v>4.1303710312297357E-3</v>
      </c>
    </row>
    <row r="90" spans="5:21" ht="15" x14ac:dyDescent="0.2">
      <c r="E90" s="72">
        <v>0.4</v>
      </c>
      <c r="F90" s="73">
        <f t="shared" si="6"/>
        <v>234.3901581166264</v>
      </c>
      <c r="G90" s="73">
        <f t="shared" si="7"/>
        <v>4.8537747236735073E-3</v>
      </c>
      <c r="H90" s="73">
        <f t="shared" si="8"/>
        <v>325.59478042058777</v>
      </c>
      <c r="I90" s="73">
        <f t="shared" si="5"/>
        <v>225.59478042058777</v>
      </c>
      <c r="J90" s="73">
        <f t="shared" si="9"/>
        <v>4.5988169605031071E-3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349.11324000000008</v>
      </c>
      <c r="U90" s="28">
        <f>$X$36</f>
        <v>4.1303710312297357E-3</v>
      </c>
    </row>
    <row r="91" spans="5:21" ht="15" x14ac:dyDescent="0.2">
      <c r="E91" s="72">
        <v>0.6</v>
      </c>
      <c r="F91" s="73">
        <f t="shared" si="6"/>
        <v>249.5647453716609</v>
      </c>
      <c r="G91" s="73">
        <f t="shared" si="7"/>
        <v>4.3918769886969397E-3</v>
      </c>
      <c r="H91" s="73">
        <f t="shared" si="8"/>
        <v>342.01109022595097</v>
      </c>
      <c r="I91" s="73">
        <f t="shared" si="5"/>
        <v>242.01109022595097</v>
      </c>
      <c r="J91" s="73">
        <f t="shared" si="9"/>
        <v>3.9614476520864299E-3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349.43076000000002</v>
      </c>
      <c r="U91" s="28">
        <f>$X$37</f>
        <v>3.0977782734223011E-3</v>
      </c>
    </row>
    <row r="92" spans="5:21" ht="15" x14ac:dyDescent="0.2">
      <c r="E92" s="72">
        <v>0.80000000000001004</v>
      </c>
      <c r="F92" s="73">
        <f t="shared" si="6"/>
        <v>264.73933262669618</v>
      </c>
      <c r="G92" s="73">
        <f t="shared" si="7"/>
        <v>3.8181144289821619E-3</v>
      </c>
      <c r="H92" s="73">
        <f t="shared" si="8"/>
        <v>359.25510134543799</v>
      </c>
      <c r="I92" s="73">
        <f t="shared" si="5"/>
        <v>259.25510134543799</v>
      </c>
      <c r="J92" s="73">
        <f t="shared" si="9"/>
        <v>3.2786113584453913E-3</v>
      </c>
      <c r="K92" s="73">
        <f t="shared" si="10"/>
        <v>0.78814460141660658</v>
      </c>
      <c r="M92" s="56"/>
      <c r="N92" s="57"/>
      <c r="O92" s="58" t="b">
        <f t="shared" si="11"/>
        <v>0</v>
      </c>
      <c r="T92" s="85">
        <f>$U$37-$B$38/100</f>
        <v>364.98924000000005</v>
      </c>
      <c r="U92" s="28">
        <f>$X$37</f>
        <v>3.0977782734223011E-3</v>
      </c>
    </row>
    <row r="93" spans="5:21" ht="15" x14ac:dyDescent="0.2">
      <c r="E93" s="72">
        <v>1.00000000000001</v>
      </c>
      <c r="F93" s="73">
        <f t="shared" si="6"/>
        <v>279.91391988173069</v>
      </c>
      <c r="G93" s="73">
        <f t="shared" si="7"/>
        <v>3.1891572462883514E-3</v>
      </c>
      <c r="H93" s="73">
        <f t="shared" si="8"/>
        <v>377.36854602420584</v>
      </c>
      <c r="I93" s="73">
        <f t="shared" si="5"/>
        <v>277.36854602420584</v>
      </c>
      <c r="J93" s="73">
        <f t="shared" si="9"/>
        <v>2.6070789169737852E-3</v>
      </c>
      <c r="K93" s="73">
        <f t="shared" si="10"/>
        <v>0.8413447460685457</v>
      </c>
      <c r="M93" s="56"/>
      <c r="N93" s="57"/>
      <c r="O93" s="58" t="b">
        <f t="shared" si="11"/>
        <v>0</v>
      </c>
      <c r="T93" s="85">
        <f>$U$37+$B$38/100</f>
        <v>365.30676</v>
      </c>
      <c r="U93" s="28">
        <f>$X$38</f>
        <v>1.0325927578074339E-3</v>
      </c>
    </row>
    <row r="94" spans="5:21" ht="15" x14ac:dyDescent="0.2">
      <c r="E94" s="72">
        <v>1.2000000000000099</v>
      </c>
      <c r="F94" s="73">
        <f t="shared" si="6"/>
        <v>295.0885071367652</v>
      </c>
      <c r="G94" s="73">
        <f t="shared" si="7"/>
        <v>2.5593586398046514E-3</v>
      </c>
      <c r="H94" s="73">
        <f t="shared" si="8"/>
        <v>396.39526062426921</v>
      </c>
      <c r="I94" s="73">
        <f t="shared" si="5"/>
        <v>296.39526062426921</v>
      </c>
      <c r="J94" s="73">
        <f t="shared" si="9"/>
        <v>1.9918041676729192E-3</v>
      </c>
      <c r="K94" s="73">
        <f t="shared" si="10"/>
        <v>0.88493032977829389</v>
      </c>
      <c r="M94" s="56"/>
      <c r="N94" s="57"/>
      <c r="O94" s="58" t="b">
        <f t="shared" si="11"/>
        <v>0</v>
      </c>
      <c r="T94" s="85">
        <f>$U$38-$B$38/100</f>
        <v>380.86524000000003</v>
      </c>
      <c r="U94" s="28">
        <f>$X$38</f>
        <v>1.0325927578074339E-3</v>
      </c>
    </row>
    <row r="95" spans="5:21" ht="15" x14ac:dyDescent="0.2">
      <c r="E95" s="72">
        <v>1.4000000000000099</v>
      </c>
      <c r="F95" s="73">
        <f t="shared" si="6"/>
        <v>310.26309439179971</v>
      </c>
      <c r="G95" s="73">
        <f t="shared" si="7"/>
        <v>1.9733975378614307E-3</v>
      </c>
      <c r="H95" s="73">
        <f t="shared" si="8"/>
        <v>416.381291712912</v>
      </c>
      <c r="I95" s="73">
        <f t="shared" si="5"/>
        <v>316.381291712912</v>
      </c>
      <c r="J95" s="73">
        <f t="shared" si="9"/>
        <v>1.4620671407534166E-3</v>
      </c>
      <c r="K95" s="73">
        <f t="shared" si="10"/>
        <v>0.91924334076623071</v>
      </c>
      <c r="M95" s="56"/>
      <c r="N95" s="57"/>
      <c r="O95" s="58" t="b">
        <f t="shared" si="11"/>
        <v>0</v>
      </c>
      <c r="T95" s="85">
        <f>$U$38+$B$38/100</f>
        <v>381.18275999999997</v>
      </c>
      <c r="U95" s="28">
        <f>$X$39</f>
        <v>1.0325927578074339E-3</v>
      </c>
    </row>
    <row r="96" spans="5:21" ht="15" x14ac:dyDescent="0.2">
      <c r="E96" s="72">
        <v>1.6000000000000101</v>
      </c>
      <c r="F96" s="73">
        <f t="shared" si="6"/>
        <v>325.43768164683422</v>
      </c>
      <c r="G96" s="73">
        <f t="shared" si="7"/>
        <v>1.4619288526961855E-3</v>
      </c>
      <c r="H96" s="73">
        <f t="shared" si="8"/>
        <v>437.37500750002255</v>
      </c>
      <c r="I96" s="73">
        <f t="shared" si="5"/>
        <v>337.37500750002255</v>
      </c>
      <c r="J96" s="73">
        <f t="shared" si="9"/>
        <v>1.031136635522247E-3</v>
      </c>
      <c r="K96" s="73">
        <f t="shared" si="10"/>
        <v>0.94520070830044334</v>
      </c>
      <c r="M96" s="56"/>
      <c r="N96" s="57"/>
      <c r="O96" s="58" t="b">
        <f t="shared" si="11"/>
        <v>0</v>
      </c>
      <c r="T96" s="85">
        <f>$U$39-$B$38/100</f>
        <v>396.74124000000006</v>
      </c>
      <c r="U96" s="28">
        <f>$X$39</f>
        <v>1.0325927578074339E-3</v>
      </c>
    </row>
    <row r="97" spans="5:21" ht="15" x14ac:dyDescent="0.2">
      <c r="E97" s="72">
        <v>1.80000000000001</v>
      </c>
      <c r="F97" s="73">
        <f t="shared" si="6"/>
        <v>340.61226890186879</v>
      </c>
      <c r="G97" s="73">
        <f t="shared" si="7"/>
        <v>1.0405575713395324E-3</v>
      </c>
      <c r="H97" s="73">
        <f t="shared" si="8"/>
        <v>459.42721489403709</v>
      </c>
      <c r="I97" s="73">
        <f t="shared" si="5"/>
        <v>359.42721489403709</v>
      </c>
      <c r="J97" s="73">
        <f t="shared" si="9"/>
        <v>6.9870417552037143E-4</v>
      </c>
      <c r="K97" s="73">
        <f t="shared" si="10"/>
        <v>0.96406968088707512</v>
      </c>
      <c r="M97" s="56"/>
      <c r="N97" s="57"/>
      <c r="O97" s="58" t="b">
        <f t="shared" si="11"/>
        <v>0</v>
      </c>
      <c r="T97" s="85">
        <f>$U$39+$B$38/100</f>
        <v>397.05876000000001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355.78685615690324</v>
      </c>
      <c r="G98" s="73">
        <f t="shared" si="7"/>
        <v>7.1159716710283863E-4</v>
      </c>
      <c r="H98" s="73">
        <f t="shared" si="8"/>
        <v>482.5912824597799</v>
      </c>
      <c r="I98" s="73">
        <f t="shared" si="5"/>
        <v>382.5912824597799</v>
      </c>
      <c r="J98" s="73">
        <f t="shared" si="9"/>
        <v>4.5488192551928943E-4</v>
      </c>
      <c r="K98" s="73">
        <f t="shared" si="10"/>
        <v>0.97724986805182146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370.96144341193781</v>
      </c>
      <c r="G99" s="73">
        <f t="shared" si="7"/>
        <v>4.6755265563432205E-4</v>
      </c>
      <c r="H99" s="73">
        <f t="shared" si="8"/>
        <v>506.92326957576933</v>
      </c>
      <c r="I99" s="73">
        <f t="shared" si="5"/>
        <v>406.92326957576933</v>
      </c>
      <c r="J99" s="73">
        <f t="shared" si="9"/>
        <v>2.8453273833313421E-4</v>
      </c>
      <c r="K99" s="73">
        <f t="shared" si="10"/>
        <v>0.98609655248650163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386.13603066697226</v>
      </c>
      <c r="G100" s="73">
        <f t="shared" si="7"/>
        <v>2.9515834491527907E-4</v>
      </c>
      <c r="H100" s="73">
        <f t="shared" si="8"/>
        <v>532.48206210356693</v>
      </c>
      <c r="I100" s="73">
        <f t="shared" si="5"/>
        <v>432.48206210356693</v>
      </c>
      <c r="J100" s="73">
        <f t="shared" si="9"/>
        <v>1.7099917970179586E-4</v>
      </c>
      <c r="K100" s="73">
        <f t="shared" si="10"/>
        <v>0.99180246407540418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401.31061792200683</v>
      </c>
      <c r="G101" s="73">
        <f t="shared" si="7"/>
        <v>1.7902258566115259E-4</v>
      </c>
      <c r="H101" s="73">
        <f t="shared" si="8"/>
        <v>559.3295148974936</v>
      </c>
      <c r="I101" s="73">
        <f t="shared" si="5"/>
        <v>459.3295148974936</v>
      </c>
      <c r="J101" s="73">
        <f t="shared" si="9"/>
        <v>9.8737932983409266E-5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416.48520517704128</v>
      </c>
      <c r="G102" s="73">
        <f t="shared" si="7"/>
        <v>1.0432509892950951E-4</v>
      </c>
      <c r="H102" s="73">
        <f t="shared" si="8"/>
        <v>587.53060149961834</v>
      </c>
      <c r="I102" s="73">
        <f t="shared" si="5"/>
        <v>487.53060149961834</v>
      </c>
      <c r="J102" s="73">
        <f t="shared" si="9"/>
        <v>5.4777506147729497E-5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431.65979243207585</v>
      </c>
      <c r="G103" s="73">
        <f t="shared" si="7"/>
        <v>5.8411452482406172E-5</v>
      </c>
      <c r="H103" s="73">
        <f t="shared" si="8"/>
        <v>617.15357138227455</v>
      </c>
      <c r="I103" s="73">
        <f t="shared" si="5"/>
        <v>517.15357138227455</v>
      </c>
      <c r="J103" s="73">
        <f t="shared" si="9"/>
        <v>2.9197704033208477E-5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446.8343796871103</v>
      </c>
      <c r="G104" s="73">
        <f t="shared" si="7"/>
        <v>3.1422115954736039E-5</v>
      </c>
      <c r="H104" s="73">
        <f t="shared" si="8"/>
        <v>648.27011511866533</v>
      </c>
      <c r="I104" s="73">
        <f t="shared" si="5"/>
        <v>548.27011511866533</v>
      </c>
      <c r="J104" s="73">
        <f t="shared" si="9"/>
        <v>1.4952829055797219E-5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462.00896694214487</v>
      </c>
      <c r="G105" s="73">
        <f t="shared" si="7"/>
        <v>1.6240562563758144E-5</v>
      </c>
      <c r="H105" s="73">
        <f t="shared" si="8"/>
        <v>680.95553788127654</v>
      </c>
      <c r="I105" s="73">
        <f t="shared" si="5"/>
        <v>580.95553788127654</v>
      </c>
      <c r="J105" s="73">
        <f t="shared" si="9"/>
        <v>7.357431977008696E-6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477.18355419717932</v>
      </c>
      <c r="G106" s="73">
        <f t="shared" si="7"/>
        <v>8.0648246944672364E-6</v>
      </c>
      <c r="H106" s="73">
        <f t="shared" si="8"/>
        <v>715.28894168798547</v>
      </c>
      <c r="I106" s="73">
        <f t="shared" si="5"/>
        <v>615.28894168798547</v>
      </c>
      <c r="J106" s="73">
        <f t="shared" si="9"/>
        <v>3.4782225261099006E-6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492.35814145221389</v>
      </c>
      <c r="G107" s="73">
        <f t="shared" si="7"/>
        <v>3.8478400879679758E-6</v>
      </c>
      <c r="H107" s="73">
        <f t="shared" si="8"/>
        <v>751.35341683691775</v>
      </c>
      <c r="I107" s="73">
        <f t="shared" si="5"/>
        <v>651.35341683691775</v>
      </c>
      <c r="J107" s="73">
        <f t="shared" si="9"/>
        <v>1.5798530465379873E-6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507.53272870724834</v>
      </c>
      <c r="G108" s="73">
        <f t="shared" si="7"/>
        <v>1.7638730268657415E-6</v>
      </c>
      <c r="H108" s="73">
        <f t="shared" si="8"/>
        <v>789.23624299334449</v>
      </c>
      <c r="I108" s="73">
        <f t="shared" si="5"/>
        <v>689.23624299334449</v>
      </c>
      <c r="J108" s="73">
        <f t="shared" si="9"/>
        <v>6.8945232630469701E-7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522.70731596228291</v>
      </c>
      <c r="G109" s="73">
        <f t="shared" si="7"/>
        <v>7.7686551556097889E-7</v>
      </c>
      <c r="H109" s="73">
        <f t="shared" si="8"/>
        <v>829.02910041527014</v>
      </c>
      <c r="I109" s="73">
        <f t="shared" si="5"/>
        <v>729.02910041527014</v>
      </c>
      <c r="J109" s="73">
        <f t="shared" si="9"/>
        <v>2.8908130816667716E-7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537.88190321731747</v>
      </c>
      <c r="G110" s="73">
        <f t="shared" si="7"/>
        <v>3.2874002924563438E-7</v>
      </c>
      <c r="H110" s="73">
        <f t="shared" si="8"/>
        <v>870.82829182889918</v>
      </c>
      <c r="I110" s="73">
        <f t="shared" si="5"/>
        <v>770.82829182889918</v>
      </c>
      <c r="J110" s="73">
        <f t="shared" si="9"/>
        <v>1.164565719948803E-7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553.05649047235192</v>
      </c>
      <c r="G111" s="73">
        <f t="shared" si="7"/>
        <v>1.3365572183351211E-7</v>
      </c>
      <c r="H111" s="73">
        <f t="shared" si="8"/>
        <v>914.7349754909402</v>
      </c>
      <c r="I111" s="73">
        <f t="shared" si="5"/>
        <v>814.7349754909402</v>
      </c>
      <c r="J111" s="73">
        <f t="shared" si="9"/>
        <v>4.5075049631918624E-8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568.23107772738638</v>
      </c>
      <c r="G112" s="73">
        <f t="shared" si="7"/>
        <v>5.2209645303105584E-8</v>
      </c>
      <c r="H112" s="73">
        <f t="shared" si="8"/>
        <v>960.85541000178489</v>
      </c>
      <c r="I112" s="73">
        <f t="shared" si="5"/>
        <v>860.85541000178489</v>
      </c>
      <c r="J112" s="73">
        <f t="shared" si="9"/>
        <v>1.6762417207364494E-8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583.40566498242015</v>
      </c>
      <c r="G113" s="73">
        <f t="shared" si="7"/>
        <v>1.9594859349351264E-8</v>
      </c>
      <c r="H113" s="73">
        <f t="shared" si="8"/>
        <v>1009.3012114620304</v>
      </c>
      <c r="I113" s="73">
        <f t="shared" si="5"/>
        <v>909.30121146203044</v>
      </c>
      <c r="J113" s="73">
        <f t="shared" si="9"/>
        <v>5.9891514961135393E-9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0.45313624421769261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-501.64551891503538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1.7760979146073157E-2</v>
      </c>
      <c r="H120" s="69" t="s">
        <v>50</v>
      </c>
      <c r="I120" s="79">
        <f>IF($B$9&gt;3,INDEX(XX!$C$4:$C$150,$B$9))</f>
        <v>0.24610000000000001</v>
      </c>
      <c r="J120" s="79">
        <f>IF($B$9&gt;3,INDEX(XX!$D$4:$D$150,$B$9))</f>
        <v>0.31979999999999997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69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-500.42001135395634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42699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256.73052964314229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41" sqref="M41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154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35808</v>
      </c>
      <c r="N3" s="57">
        <v>190</v>
      </c>
      <c r="O3" s="58">
        <f t="shared" ref="O3:O66" si="0">IF($N3&gt;0,LN($N3+$B$26))</f>
        <v>5.4806389233419912</v>
      </c>
      <c r="T3" s="69" t="s">
        <v>109</v>
      </c>
      <c r="U3" s="82">
        <f>$B$21</f>
        <v>201.05771852703049</v>
      </c>
      <c r="V3" s="82">
        <f t="shared" ref="V3:V10" si="1">U3</f>
        <v>201.05771852703049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35908</v>
      </c>
      <c r="N4" s="57">
        <v>160</v>
      </c>
      <c r="O4" s="58">
        <f t="shared" si="0"/>
        <v>5.3471075307174685</v>
      </c>
      <c r="T4" s="69" t="s">
        <v>111</v>
      </c>
      <c r="U4" s="82">
        <f>$B$31</f>
        <v>194.64514540836768</v>
      </c>
      <c r="V4" s="82">
        <f t="shared" si="1"/>
        <v>194.64514540836768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35996</v>
      </c>
      <c r="N5" s="57">
        <v>95</v>
      </c>
      <c r="O5" s="58">
        <f t="shared" si="0"/>
        <v>4.9767337424205742</v>
      </c>
      <c r="T5" s="69" t="s">
        <v>110</v>
      </c>
      <c r="U5" s="82">
        <f>$B$22</f>
        <v>216.01564894249515</v>
      </c>
      <c r="V5" s="82">
        <f t="shared" si="1"/>
        <v>216.01564894249515</v>
      </c>
    </row>
    <row r="6" spans="1:24" ht="15" customHeight="1" x14ac:dyDescent="0.25">
      <c r="A6" s="107" t="s">
        <v>18</v>
      </c>
      <c r="B6" s="116">
        <v>250</v>
      </c>
      <c r="C6" s="18"/>
      <c r="M6" s="56">
        <v>36108</v>
      </c>
      <c r="N6" s="57">
        <v>190</v>
      </c>
      <c r="O6" s="58">
        <f t="shared" si="0"/>
        <v>5.4806389233419912</v>
      </c>
      <c r="T6" s="69" t="s">
        <v>29</v>
      </c>
      <c r="U6" s="82">
        <f>$B$32</f>
        <v>219.22939343239693</v>
      </c>
      <c r="V6" s="82">
        <f t="shared" si="1"/>
        <v>219.22939343239693</v>
      </c>
    </row>
    <row r="7" spans="1:24" ht="15" customHeight="1" x14ac:dyDescent="0.2">
      <c r="D7" s="4"/>
      <c r="F7" s="5"/>
      <c r="M7" s="56">
        <v>36161</v>
      </c>
      <c r="N7" s="57">
        <v>180</v>
      </c>
      <c r="O7" s="58">
        <f t="shared" si="0"/>
        <v>5.4380793089231956</v>
      </c>
      <c r="T7" s="69" t="s">
        <v>31</v>
      </c>
      <c r="U7" s="82">
        <f>$C$21</f>
        <v>41.023362554050578</v>
      </c>
      <c r="V7" s="82">
        <f t="shared" si="1"/>
        <v>41.023362554050578</v>
      </c>
    </row>
    <row r="8" spans="1:24" ht="15" customHeight="1" x14ac:dyDescent="0.25">
      <c r="A8" s="140" t="s">
        <v>12</v>
      </c>
      <c r="B8" s="140"/>
      <c r="C8" s="140"/>
      <c r="D8" s="4"/>
      <c r="M8" s="56">
        <v>36251</v>
      </c>
      <c r="N8" s="57">
        <v>130</v>
      </c>
      <c r="O8" s="58">
        <f t="shared" si="0"/>
        <v>5.1929568508902104</v>
      </c>
      <c r="T8" s="69" t="s">
        <v>32</v>
      </c>
      <c r="U8" s="82">
        <f>$C$31</f>
        <v>4.6556333988332455</v>
      </c>
      <c r="V8" s="82">
        <f t="shared" si="1"/>
        <v>4.6556333988332455</v>
      </c>
    </row>
    <row r="9" spans="1:24" ht="15" customHeight="1" x14ac:dyDescent="0.2">
      <c r="A9" s="101" t="s">
        <v>11</v>
      </c>
      <c r="B9" s="59">
        <f>COUNT($M$3:$M252)</f>
        <v>74</v>
      </c>
      <c r="C9" s="60"/>
      <c r="D9" s="4"/>
      <c r="M9" s="56">
        <v>36276</v>
      </c>
      <c r="N9" s="57">
        <v>130</v>
      </c>
      <c r="O9" s="58">
        <f t="shared" si="0"/>
        <v>5.1929568508902104</v>
      </c>
      <c r="T9" s="69" t="s">
        <v>112</v>
      </c>
      <c r="U9" s="82">
        <f>$C$22</f>
        <v>26.065432138585948</v>
      </c>
      <c r="V9" s="82">
        <f t="shared" si="1"/>
        <v>26.065432138585948</v>
      </c>
    </row>
    <row r="10" spans="1:24" ht="15" customHeight="1" x14ac:dyDescent="0.2">
      <c r="A10" s="102" t="s">
        <v>7</v>
      </c>
      <c r="B10" s="61">
        <f>MIN($N$3:$N$252)</f>
        <v>59</v>
      </c>
      <c r="C10" s="60"/>
      <c r="D10" s="4"/>
      <c r="M10" s="56">
        <v>36342</v>
      </c>
      <c r="N10" s="57">
        <v>150</v>
      </c>
      <c r="O10" s="58">
        <f t="shared" si="0"/>
        <v>5.2983173665480363</v>
      </c>
      <c r="T10" s="69" t="s">
        <v>113</v>
      </c>
      <c r="U10" s="82">
        <f>$C$32</f>
        <v>4.5698337021764432</v>
      </c>
      <c r="V10" s="82">
        <f t="shared" si="1"/>
        <v>4.5698337021764432</v>
      </c>
    </row>
    <row r="11" spans="1:24" ht="15" customHeight="1" x14ac:dyDescent="0.2">
      <c r="A11" s="102" t="s">
        <v>8</v>
      </c>
      <c r="B11" s="61">
        <f>MAX($N$3:$N$252)</f>
        <v>238</v>
      </c>
      <c r="C11" s="60"/>
      <c r="D11" s="4"/>
      <c r="M11" s="56">
        <v>36434</v>
      </c>
      <c r="N11" s="57">
        <v>127</v>
      </c>
      <c r="O11" s="58">
        <f t="shared" si="0"/>
        <v>5.1761497325738288</v>
      </c>
      <c r="T11" s="69" t="s">
        <v>68</v>
      </c>
      <c r="U11" s="82">
        <f>$B$12</f>
        <v>115</v>
      </c>
      <c r="V11" s="82">
        <f>U11</f>
        <v>115</v>
      </c>
    </row>
    <row r="12" spans="1:24" ht="15" customHeight="1" x14ac:dyDescent="0.2">
      <c r="A12" s="102" t="s">
        <v>68</v>
      </c>
      <c r="B12" s="62">
        <f>MEDIAN($N$3:$N$252)</f>
        <v>115</v>
      </c>
      <c r="C12" s="50"/>
      <c r="D12" s="4"/>
      <c r="M12" s="56">
        <v>36557</v>
      </c>
      <c r="N12" s="57">
        <v>74.400000000000006</v>
      </c>
      <c r="O12" s="58">
        <f t="shared" si="0"/>
        <v>4.8235021803050788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36651</v>
      </c>
      <c r="N13" s="57">
        <v>119</v>
      </c>
      <c r="O13" s="58">
        <f t="shared" si="0"/>
        <v>5.1298987149230735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36733</v>
      </c>
      <c r="N14" s="57">
        <v>150</v>
      </c>
      <c r="O14" s="58">
        <f t="shared" si="0"/>
        <v>5.2983173665480363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36838</v>
      </c>
      <c r="N15" s="57">
        <v>138</v>
      </c>
      <c r="O15" s="58">
        <f t="shared" si="0"/>
        <v>5.2364419628299492</v>
      </c>
      <c r="T15" s="69">
        <v>1</v>
      </c>
      <c r="U15" s="77">
        <f t="shared" ref="U15:U39" si="3">$B$36+T15*$B$38</f>
        <v>9.9960000000000004</v>
      </c>
      <c r="V15" s="84">
        <f>FREQUENCY($N$3:$N$252,$U$15:$U$39)</f>
        <v>0</v>
      </c>
      <c r="W15" s="79">
        <f t="shared" ref="W15:W39" si="4">(U15+U14)/2</f>
        <v>4.9980000000000002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121.04054054054055</v>
      </c>
      <c r="C16" s="60"/>
      <c r="M16" s="56">
        <v>36907</v>
      </c>
      <c r="N16" s="57">
        <v>163</v>
      </c>
      <c r="O16" s="58">
        <f t="shared" si="0"/>
        <v>5.3612921657094255</v>
      </c>
      <c r="T16" s="69">
        <v>2</v>
      </c>
      <c r="U16" s="77">
        <f t="shared" si="3"/>
        <v>19.992000000000001</v>
      </c>
      <c r="V16" s="84">
        <f t="array" ref="V16:V40">FREQUENCY($N$3:$N$252,$U$15:$U$39)</f>
        <v>0</v>
      </c>
      <c r="W16" s="79">
        <f t="shared" si="4"/>
        <v>14.994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40.82584099384237</v>
      </c>
      <c r="C17" s="60"/>
      <c r="D17" s="4"/>
      <c r="M17" s="56">
        <v>37006</v>
      </c>
      <c r="N17" s="57">
        <v>121</v>
      </c>
      <c r="O17" s="58">
        <f t="shared" si="0"/>
        <v>5.1416635565026603</v>
      </c>
      <c r="T17" s="69">
        <v>3</v>
      </c>
      <c r="U17" s="77">
        <f t="shared" si="3"/>
        <v>29.988</v>
      </c>
      <c r="V17" s="84">
        <v>0</v>
      </c>
      <c r="W17" s="79">
        <f t="shared" si="4"/>
        <v>24.990000000000002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0.15506617216091345</v>
      </c>
      <c r="C18" s="114" t="s">
        <v>45</v>
      </c>
      <c r="D18" s="4"/>
      <c r="J18" s="6"/>
      <c r="M18" s="56">
        <v>37097</v>
      </c>
      <c r="N18" s="57">
        <v>80.8</v>
      </c>
      <c r="O18" s="58">
        <f t="shared" si="0"/>
        <v>4.8736694390230983</v>
      </c>
      <c r="T18" s="69">
        <v>4</v>
      </c>
      <c r="U18" s="77">
        <f t="shared" si="3"/>
        <v>39.984000000000002</v>
      </c>
      <c r="V18" s="84">
        <v>0</v>
      </c>
      <c r="W18" s="79">
        <f t="shared" si="4"/>
        <v>34.986000000000004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37172</v>
      </c>
      <c r="N19" s="57">
        <v>121</v>
      </c>
      <c r="O19" s="58">
        <f t="shared" si="0"/>
        <v>5.1416635565026603</v>
      </c>
      <c r="T19" s="69">
        <v>5</v>
      </c>
      <c r="U19" s="77">
        <f t="shared" si="3"/>
        <v>49.980000000000004</v>
      </c>
      <c r="V19" s="84">
        <v>0</v>
      </c>
      <c r="W19" s="79">
        <f t="shared" si="4"/>
        <v>44.981999999999999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37264</v>
      </c>
      <c r="N20" s="57">
        <v>141</v>
      </c>
      <c r="O20" s="58">
        <f t="shared" si="0"/>
        <v>5.2522734280466299</v>
      </c>
      <c r="T20" s="69">
        <v>6</v>
      </c>
      <c r="U20" s="77">
        <f t="shared" si="3"/>
        <v>59.975999999999999</v>
      </c>
      <c r="V20" s="84">
        <v>0</v>
      </c>
      <c r="W20" s="79">
        <f t="shared" si="4"/>
        <v>54.978000000000002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201.05771852703049</v>
      </c>
      <c r="C21" s="62">
        <f>NORMINV(0.025,$B$16,$B$17)</f>
        <v>41.023362554050578</v>
      </c>
      <c r="D21" s="4"/>
      <c r="M21" s="56">
        <v>37354</v>
      </c>
      <c r="N21" s="57">
        <v>62.3</v>
      </c>
      <c r="O21" s="58">
        <f t="shared" si="0"/>
        <v>4.7211738617443979</v>
      </c>
      <c r="T21" s="69">
        <v>7</v>
      </c>
      <c r="U21" s="77">
        <f t="shared" si="3"/>
        <v>69.972000000000008</v>
      </c>
      <c r="V21" s="84">
        <v>1</v>
      </c>
      <c r="W21" s="79">
        <f t="shared" si="4"/>
        <v>64.974000000000004</v>
      </c>
      <c r="X21" s="80">
        <f t="shared" si="2"/>
        <v>1.3518921081946292E-3</v>
      </c>
    </row>
    <row r="22" spans="1:24" ht="15" customHeight="1" x14ac:dyDescent="0.2">
      <c r="A22" s="104" t="s">
        <v>77</v>
      </c>
      <c r="B22" s="62">
        <f>NORMINV(0.99,$B$16,$B$17)</f>
        <v>216.01564894249515</v>
      </c>
      <c r="C22" s="62">
        <f>NORMINV(0.01,B16,B17)</f>
        <v>26.065432138585948</v>
      </c>
      <c r="M22" s="56">
        <v>37467</v>
      </c>
      <c r="N22" s="57">
        <v>73</v>
      </c>
      <c r="O22" s="58">
        <f t="shared" si="0"/>
        <v>4.8121843553724171</v>
      </c>
      <c r="T22" s="69">
        <v>8</v>
      </c>
      <c r="U22" s="77">
        <f t="shared" si="3"/>
        <v>79.968000000000004</v>
      </c>
      <c r="V22" s="84">
        <v>5</v>
      </c>
      <c r="W22" s="79">
        <f t="shared" si="4"/>
        <v>74.97</v>
      </c>
      <c r="X22" s="80">
        <f t="shared" si="2"/>
        <v>6.7594605409731457E-3</v>
      </c>
    </row>
    <row r="23" spans="1:24" ht="15" customHeight="1" x14ac:dyDescent="0.25">
      <c r="A23" s="112" t="s">
        <v>81</v>
      </c>
      <c r="B23" s="96">
        <f>MAX($B$22+0.5*$B$6,$B$6)</f>
        <v>341.01564894249515</v>
      </c>
      <c r="E23" s="144" t="s">
        <v>80</v>
      </c>
      <c r="F23" s="144"/>
      <c r="G23" s="144"/>
      <c r="M23" s="56">
        <v>37573</v>
      </c>
      <c r="N23" s="57">
        <v>160</v>
      </c>
      <c r="O23" s="58">
        <f t="shared" si="0"/>
        <v>5.3471075307174685</v>
      </c>
      <c r="T23" s="69">
        <v>9</v>
      </c>
      <c r="U23" s="77">
        <f t="shared" si="3"/>
        <v>89.963999999999999</v>
      </c>
      <c r="V23" s="84">
        <v>5</v>
      </c>
      <c r="W23" s="79">
        <f t="shared" si="4"/>
        <v>84.966000000000008</v>
      </c>
      <c r="X23" s="80">
        <f t="shared" si="2"/>
        <v>6.7594605409731457E-3</v>
      </c>
    </row>
    <row r="24" spans="1:24" ht="15" customHeight="1" x14ac:dyDescent="0.2">
      <c r="M24" s="56">
        <v>37649</v>
      </c>
      <c r="N24" s="57">
        <v>136</v>
      </c>
      <c r="O24" s="58">
        <f t="shared" si="0"/>
        <v>5.2257466737132017</v>
      </c>
      <c r="T24" s="69">
        <v>10</v>
      </c>
      <c r="U24" s="77">
        <f t="shared" si="3"/>
        <v>99.960000000000008</v>
      </c>
      <c r="V24" s="84">
        <v>5</v>
      </c>
      <c r="W24" s="79">
        <f t="shared" si="4"/>
        <v>94.962000000000003</v>
      </c>
      <c r="X24" s="80">
        <f t="shared" si="2"/>
        <v>6.7594605409731457E-3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37750</v>
      </c>
      <c r="N25" s="57">
        <v>87</v>
      </c>
      <c r="O25" s="58">
        <f t="shared" si="0"/>
        <v>4.9199809258281251</v>
      </c>
      <c r="Q25" s="75" t="s">
        <v>68</v>
      </c>
      <c r="R25" s="75">
        <f>MEDIAN($O$3:$O$252)</f>
        <v>5.1059271080903716</v>
      </c>
      <c r="T25" s="69">
        <v>11</v>
      </c>
      <c r="U25" s="77">
        <f t="shared" si="3"/>
        <v>109.956</v>
      </c>
      <c r="V25" s="84">
        <v>13</v>
      </c>
      <c r="W25" s="79">
        <f t="shared" si="4"/>
        <v>104.958</v>
      </c>
      <c r="X25" s="80">
        <f t="shared" si="2"/>
        <v>1.7574597406530178E-2</v>
      </c>
    </row>
    <row r="26" spans="1:24" ht="15" customHeight="1" x14ac:dyDescent="0.2">
      <c r="A26" s="86" t="s">
        <v>36</v>
      </c>
      <c r="B26" s="134">
        <v>50</v>
      </c>
      <c r="C26" s="62"/>
      <c r="E26" s="7" t="e">
        <f>AVERAGE(C50:C199)</f>
        <v>#DIV/0!</v>
      </c>
      <c r="M26" s="56">
        <v>37845</v>
      </c>
      <c r="N26" s="57">
        <v>129</v>
      </c>
      <c r="O26" s="58">
        <f t="shared" si="0"/>
        <v>5.1873858058407549</v>
      </c>
      <c r="Q26" s="75" t="s">
        <v>73</v>
      </c>
      <c r="R26" s="75">
        <f>AVERAGE($O$3:$O$252)</f>
        <v>5.1146173229378906</v>
      </c>
      <c r="T26" s="69">
        <v>12</v>
      </c>
      <c r="U26" s="77">
        <f t="shared" si="3"/>
        <v>119.952</v>
      </c>
      <c r="V26" s="84">
        <v>6</v>
      </c>
      <c r="W26" s="79">
        <f t="shared" si="4"/>
        <v>114.95400000000001</v>
      </c>
      <c r="X26" s="80">
        <f t="shared" si="2"/>
        <v>8.1113526491677738E-3</v>
      </c>
    </row>
    <row r="27" spans="1:24" ht="15" customHeight="1" x14ac:dyDescent="0.2">
      <c r="A27" s="65" t="s">
        <v>17</v>
      </c>
      <c r="B27" s="62">
        <f>EXP($R$26)</f>
        <v>166.43707714338959</v>
      </c>
      <c r="C27" s="62"/>
      <c r="E27" s="7" t="e">
        <f>STDEV(C50:C199)</f>
        <v>#DIV/0!</v>
      </c>
      <c r="F27" s="7" t="e">
        <f>NORMINV(0.025,$E26,$E27)</f>
        <v>#DIV/0!</v>
      </c>
      <c r="M27" s="56">
        <v>37930</v>
      </c>
      <c r="N27" s="57">
        <v>92.9</v>
      </c>
      <c r="O27" s="58">
        <f t="shared" si="0"/>
        <v>4.9621450849358215</v>
      </c>
      <c r="Q27" s="75" t="s">
        <v>104</v>
      </c>
      <c r="R27" s="75">
        <f>STDEV($O$3:$O$252)</f>
        <v>0.23417977459027403</v>
      </c>
      <c r="T27" s="69">
        <v>13</v>
      </c>
      <c r="U27" s="77">
        <f t="shared" si="3"/>
        <v>129.94800000000001</v>
      </c>
      <c r="V27" s="84">
        <v>4</v>
      </c>
      <c r="W27" s="79">
        <f t="shared" si="4"/>
        <v>124.95</v>
      </c>
      <c r="X27" s="80">
        <f t="shared" si="2"/>
        <v>5.4075684327785168E-3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3.8891754237482055E-2</v>
      </c>
      <c r="C28" s="115" t="s">
        <v>45</v>
      </c>
      <c r="F28" s="7" t="e">
        <f>NORMINV(0.01,$E$26,$E$27)</f>
        <v>#DIV/0!</v>
      </c>
      <c r="M28" s="56">
        <v>38034</v>
      </c>
      <c r="N28" s="57">
        <v>93</v>
      </c>
      <c r="O28" s="58">
        <f t="shared" si="0"/>
        <v>4.962844630259907</v>
      </c>
      <c r="Q28" s="75" t="s">
        <v>108</v>
      </c>
      <c r="R28" s="75">
        <f>NORMINV(0.025,$R$26,$R$27)</f>
        <v>4.6556333988332455</v>
      </c>
      <c r="T28" s="69">
        <v>14</v>
      </c>
      <c r="U28" s="77">
        <f t="shared" si="3"/>
        <v>139.94400000000002</v>
      </c>
      <c r="V28" s="84">
        <v>7</v>
      </c>
      <c r="W28" s="79">
        <f t="shared" si="4"/>
        <v>134.94600000000003</v>
      </c>
      <c r="X28" s="80">
        <f t="shared" si="2"/>
        <v>9.4632447573624046E-3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38183</v>
      </c>
      <c r="N29" s="57">
        <v>61</v>
      </c>
      <c r="O29" s="58">
        <f t="shared" si="0"/>
        <v>4.7095302013123339</v>
      </c>
      <c r="Q29" s="75" t="s">
        <v>107</v>
      </c>
      <c r="R29" s="75">
        <f>NORMINV(0.01,$R$26,$R$27)</f>
        <v>4.5698337021764432</v>
      </c>
      <c r="T29" s="69">
        <v>15</v>
      </c>
      <c r="U29" s="77">
        <f t="shared" si="3"/>
        <v>149.94</v>
      </c>
      <c r="V29" s="84">
        <v>6</v>
      </c>
      <c r="W29" s="79">
        <f t="shared" si="4"/>
        <v>144.94200000000001</v>
      </c>
      <c r="X29" s="80">
        <f t="shared" si="2"/>
        <v>8.1113526491677738E-3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38281</v>
      </c>
      <c r="N30" s="57">
        <v>94</v>
      </c>
      <c r="O30" s="58">
        <f t="shared" si="0"/>
        <v>4.9698132995760007</v>
      </c>
      <c r="Q30" s="75" t="s">
        <v>105</v>
      </c>
      <c r="R30" s="75">
        <f>NORMINV(0.95,$R$26,$R$27)</f>
        <v>5.4998087745313811</v>
      </c>
      <c r="T30" s="69">
        <v>16</v>
      </c>
      <c r="U30" s="77">
        <f t="shared" si="3"/>
        <v>159.93600000000001</v>
      </c>
      <c r="V30" s="84">
        <v>3</v>
      </c>
      <c r="W30" s="79">
        <f t="shared" si="4"/>
        <v>154.93799999999999</v>
      </c>
      <c r="X30" s="80">
        <f t="shared" si="2"/>
        <v>4.0556763245838869E-3</v>
      </c>
    </row>
    <row r="31" spans="1:24" ht="15" customHeight="1" x14ac:dyDescent="0.2">
      <c r="A31" s="65" t="s">
        <v>98</v>
      </c>
      <c r="B31" s="62">
        <f>EXP($R30)-$B$26</f>
        <v>194.64514540836768</v>
      </c>
      <c r="C31" s="62">
        <f>NORMINV(0.025,$R$26,$R$27)</f>
        <v>4.6556333988332455</v>
      </c>
      <c r="E31" s="7" t="e">
        <f>NORMINV(0.98,$E$26,$E$27)</f>
        <v>#DIV/0!</v>
      </c>
      <c r="M31" s="56">
        <v>38344</v>
      </c>
      <c r="N31" s="57">
        <v>70</v>
      </c>
      <c r="O31" s="58">
        <f t="shared" si="0"/>
        <v>4.7874917427820458</v>
      </c>
      <c r="Q31" s="75" t="s">
        <v>106</v>
      </c>
      <c r="R31" s="75">
        <f>NORMINV(0.98,$R$26,$R$27)</f>
        <v>5.5955637798946718</v>
      </c>
      <c r="T31" s="69">
        <v>17</v>
      </c>
      <c r="U31" s="77">
        <f t="shared" si="3"/>
        <v>169.93200000000002</v>
      </c>
      <c r="V31" s="84">
        <v>3</v>
      </c>
      <c r="W31" s="79">
        <f t="shared" si="4"/>
        <v>164.93400000000003</v>
      </c>
      <c r="X31" s="80">
        <f t="shared" si="2"/>
        <v>4.0556763245838869E-3</v>
      </c>
    </row>
    <row r="32" spans="1:24" ht="15" customHeight="1" x14ac:dyDescent="0.2">
      <c r="A32" s="65" t="s">
        <v>86</v>
      </c>
      <c r="B32" s="62">
        <f>EXP($R$31)-$B$26</f>
        <v>219.22939343239693</v>
      </c>
      <c r="C32" s="62">
        <f>NORMINV(0.01,$R$26,$R$27)</f>
        <v>4.5698337021764432</v>
      </c>
      <c r="M32" s="56">
        <v>38391</v>
      </c>
      <c r="N32" s="57">
        <v>90</v>
      </c>
      <c r="O32" s="58">
        <f t="shared" si="0"/>
        <v>4.9416424226093039</v>
      </c>
      <c r="T32" s="69">
        <v>18</v>
      </c>
      <c r="U32" s="77">
        <f t="shared" si="3"/>
        <v>179.928</v>
      </c>
      <c r="V32" s="84">
        <v>5</v>
      </c>
      <c r="W32" s="79">
        <f t="shared" si="4"/>
        <v>174.93</v>
      </c>
      <c r="X32" s="80">
        <f t="shared" si="2"/>
        <v>6.7594605409731457E-3</v>
      </c>
    </row>
    <row r="33" spans="1:24" ht="15" customHeight="1" x14ac:dyDescent="0.25">
      <c r="A33" s="112" t="s">
        <v>81</v>
      </c>
      <c r="B33" s="113">
        <f>MAX($B$32+0.5*$B$6,B6)</f>
        <v>344.22939343239693</v>
      </c>
      <c r="M33" s="56">
        <v>38460</v>
      </c>
      <c r="N33" s="57">
        <v>66</v>
      </c>
      <c r="O33" s="58">
        <f t="shared" si="0"/>
        <v>4.7535901911063645</v>
      </c>
      <c r="T33" s="69">
        <v>19</v>
      </c>
      <c r="U33" s="77">
        <f t="shared" si="3"/>
        <v>189.92400000000001</v>
      </c>
      <c r="V33" s="84">
        <v>2</v>
      </c>
      <c r="W33" s="79">
        <f t="shared" si="4"/>
        <v>184.92599999999999</v>
      </c>
      <c r="X33" s="80">
        <f t="shared" si="2"/>
        <v>2.7037842163892584E-3</v>
      </c>
    </row>
    <row r="34" spans="1:24" ht="15" customHeight="1" x14ac:dyDescent="0.2">
      <c r="M34" s="56">
        <v>38553</v>
      </c>
      <c r="N34" s="57">
        <v>62</v>
      </c>
      <c r="O34" s="58">
        <f t="shared" si="0"/>
        <v>4.7184988712950942</v>
      </c>
      <c r="T34" s="69">
        <v>20</v>
      </c>
      <c r="U34" s="77">
        <f t="shared" si="3"/>
        <v>199.92000000000002</v>
      </c>
      <c r="V34" s="84">
        <v>3</v>
      </c>
      <c r="W34" s="79">
        <f t="shared" si="4"/>
        <v>194.92200000000003</v>
      </c>
      <c r="X34" s="80">
        <f t="shared" si="2"/>
        <v>4.0556763245838869E-3</v>
      </c>
    </row>
    <row r="35" spans="1:24" ht="15" customHeight="1" x14ac:dyDescent="0.25">
      <c r="A35" s="140" t="s">
        <v>78</v>
      </c>
      <c r="B35" s="140"/>
      <c r="C35" s="140"/>
      <c r="M35" s="56">
        <v>38701</v>
      </c>
      <c r="N35" s="57">
        <v>59</v>
      </c>
      <c r="O35" s="58">
        <f t="shared" si="0"/>
        <v>4.6913478822291435</v>
      </c>
      <c r="T35" s="69">
        <v>21</v>
      </c>
      <c r="U35" s="77">
        <f t="shared" si="3"/>
        <v>209.916</v>
      </c>
      <c r="V35" s="84">
        <v>4</v>
      </c>
      <c r="W35" s="79">
        <f t="shared" si="4"/>
        <v>204.91800000000001</v>
      </c>
      <c r="X35" s="80">
        <f t="shared" si="2"/>
        <v>5.4075684327785168E-3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39079</v>
      </c>
      <c r="N36" s="57">
        <v>65</v>
      </c>
      <c r="O36" s="58">
        <f t="shared" si="0"/>
        <v>4.7449321283632502</v>
      </c>
      <c r="T36" s="69">
        <v>22</v>
      </c>
      <c r="U36" s="77">
        <f t="shared" si="3"/>
        <v>219.91200000000001</v>
      </c>
      <c r="V36" s="84">
        <v>1</v>
      </c>
      <c r="W36" s="79">
        <f t="shared" si="4"/>
        <v>214.91399999999999</v>
      </c>
      <c r="X36" s="80">
        <f t="shared" si="2"/>
        <v>1.3518921081946292E-3</v>
      </c>
    </row>
    <row r="37" spans="1:24" ht="15.75" x14ac:dyDescent="0.25">
      <c r="A37" s="103" t="s">
        <v>8</v>
      </c>
      <c r="B37" s="52">
        <f>1.05*B11</f>
        <v>249.9</v>
      </c>
      <c r="D37" s="8"/>
      <c r="E37" s="8"/>
      <c r="M37" s="56">
        <v>39127</v>
      </c>
      <c r="N37" s="57">
        <v>79</v>
      </c>
      <c r="O37" s="58">
        <f t="shared" si="0"/>
        <v>4.8598124043616719</v>
      </c>
      <c r="T37" s="69">
        <v>23</v>
      </c>
      <c r="U37" s="77">
        <f t="shared" si="3"/>
        <v>229.90800000000002</v>
      </c>
      <c r="V37" s="84">
        <v>0</v>
      </c>
      <c r="W37" s="79">
        <f t="shared" si="4"/>
        <v>224.91000000000003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9.9960000000000004</v>
      </c>
      <c r="M38" s="56">
        <v>39226</v>
      </c>
      <c r="N38" s="57">
        <v>86</v>
      </c>
      <c r="O38" s="58">
        <f t="shared" si="0"/>
        <v>4.9126548857360524</v>
      </c>
      <c r="T38" s="69">
        <v>24</v>
      </c>
      <c r="U38" s="77">
        <f t="shared" si="3"/>
        <v>239.904</v>
      </c>
      <c r="V38" s="84">
        <v>0</v>
      </c>
      <c r="W38" s="79">
        <f t="shared" si="4"/>
        <v>234.90600000000001</v>
      </c>
      <c r="X38" s="80">
        <f t="shared" si="2"/>
        <v>0</v>
      </c>
    </row>
    <row r="39" spans="1:24" ht="15" x14ac:dyDescent="0.2">
      <c r="M39" s="56">
        <v>39308</v>
      </c>
      <c r="N39" s="57">
        <v>92</v>
      </c>
      <c r="O39" s="58">
        <f t="shared" si="0"/>
        <v>4.9558270576012609</v>
      </c>
      <c r="T39" s="69">
        <v>25</v>
      </c>
      <c r="U39" s="77">
        <f t="shared" si="3"/>
        <v>249.9</v>
      </c>
      <c r="V39" s="84">
        <v>1</v>
      </c>
      <c r="W39" s="79">
        <f t="shared" si="4"/>
        <v>244.90199999999999</v>
      </c>
      <c r="X39" s="80">
        <f t="shared" si="2"/>
        <v>1.3518921081946292E-3</v>
      </c>
    </row>
    <row r="40" spans="1:24" ht="15" x14ac:dyDescent="0.2">
      <c r="M40" s="56">
        <v>39408</v>
      </c>
      <c r="N40" s="57">
        <v>76</v>
      </c>
      <c r="O40" s="58">
        <f t="shared" si="0"/>
        <v>4.836281906951478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39505</v>
      </c>
      <c r="N41" s="57">
        <v>90</v>
      </c>
      <c r="O41" s="58">
        <f t="shared" si="0"/>
        <v>4.9416424226093039</v>
      </c>
    </row>
    <row r="42" spans="1:24" ht="15" x14ac:dyDescent="0.2">
      <c r="M42" s="56">
        <v>39596</v>
      </c>
      <c r="N42" s="57">
        <v>91</v>
      </c>
      <c r="O42" s="58">
        <f t="shared" si="0"/>
        <v>4.9487598903781684</v>
      </c>
    </row>
    <row r="43" spans="1:24" ht="15" x14ac:dyDescent="0.2">
      <c r="M43" s="56">
        <v>39674</v>
      </c>
      <c r="N43" s="57">
        <v>116</v>
      </c>
      <c r="O43" s="58">
        <f t="shared" si="0"/>
        <v>5.1119877883565437</v>
      </c>
    </row>
    <row r="44" spans="1:24" ht="15" x14ac:dyDescent="0.2">
      <c r="M44" s="56">
        <v>39758</v>
      </c>
      <c r="N44" s="57">
        <v>94</v>
      </c>
      <c r="O44" s="58">
        <f t="shared" si="0"/>
        <v>4.9698132995760007</v>
      </c>
      <c r="T44" s="83" t="s">
        <v>13</v>
      </c>
    </row>
    <row r="45" spans="1:24" ht="15" x14ac:dyDescent="0.2">
      <c r="M45" s="56">
        <v>39856</v>
      </c>
      <c r="N45" s="57">
        <v>87.9</v>
      </c>
      <c r="O45" s="58">
        <f t="shared" si="0"/>
        <v>4.926528784799256</v>
      </c>
      <c r="T45" s="69" t="s">
        <v>26</v>
      </c>
      <c r="U45" s="69" t="s">
        <v>27</v>
      </c>
    </row>
    <row r="46" spans="1:24" ht="15" x14ac:dyDescent="0.2">
      <c r="B46" s="6"/>
      <c r="M46" s="56">
        <v>39960</v>
      </c>
      <c r="N46" s="57">
        <v>102</v>
      </c>
      <c r="O46" s="58">
        <f t="shared" si="0"/>
        <v>5.0238805208462765</v>
      </c>
      <c r="T46" s="85">
        <f>$U$14-$B$38/100</f>
        <v>-9.9960000000000007E-2</v>
      </c>
      <c r="U46" s="28">
        <v>0</v>
      </c>
    </row>
    <row r="47" spans="1:24" ht="15" x14ac:dyDescent="0.2">
      <c r="B47" s="9"/>
      <c r="C47" s="9"/>
      <c r="D47" s="9"/>
      <c r="E47" s="9"/>
      <c r="M47" s="56">
        <v>40052</v>
      </c>
      <c r="N47" s="57">
        <v>106</v>
      </c>
      <c r="O47" s="58">
        <f t="shared" si="0"/>
        <v>5.0498560072495371</v>
      </c>
      <c r="T47" s="85">
        <f>$U$14+$B$38/100</f>
        <v>9.9960000000000007E-2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40122</v>
      </c>
      <c r="N48" s="57">
        <v>101</v>
      </c>
      <c r="O48" s="58">
        <f t="shared" si="0"/>
        <v>5.0172798368149243</v>
      </c>
      <c r="T48" s="85">
        <f>$U$15-$B$38/100</f>
        <v>9.8960400000000011</v>
      </c>
      <c r="U48" s="28">
        <f>$X$15</f>
        <v>0</v>
      </c>
    </row>
    <row r="49" spans="5:21" ht="15" x14ac:dyDescent="0.2">
      <c r="E49" s="13"/>
      <c r="M49" s="56">
        <v>40234</v>
      </c>
      <c r="N49" s="57">
        <v>108</v>
      </c>
      <c r="O49" s="58">
        <f t="shared" si="0"/>
        <v>5.0625950330269669</v>
      </c>
      <c r="T49" s="85">
        <f>$U$15+$B$38/100</f>
        <v>10.09596</v>
      </c>
      <c r="U49" s="28">
        <f>$X$16</f>
        <v>0</v>
      </c>
    </row>
    <row r="50" spans="5:21" ht="15" x14ac:dyDescent="0.2">
      <c r="E50" s="39"/>
      <c r="M50" s="56">
        <v>40326</v>
      </c>
      <c r="N50" s="57">
        <v>94.1</v>
      </c>
      <c r="O50" s="58">
        <f t="shared" si="0"/>
        <v>4.9705075030054759</v>
      </c>
      <c r="T50" s="85">
        <f>$U$16-$B$38/100</f>
        <v>19.892040000000001</v>
      </c>
      <c r="U50" s="28">
        <f>$X$16</f>
        <v>0</v>
      </c>
    </row>
    <row r="51" spans="5:21" ht="15" x14ac:dyDescent="0.2">
      <c r="E51" s="15"/>
      <c r="M51" s="56">
        <v>40403</v>
      </c>
      <c r="N51" s="57">
        <v>112</v>
      </c>
      <c r="O51" s="58">
        <f t="shared" si="0"/>
        <v>5.0875963352323836</v>
      </c>
      <c r="T51" s="85">
        <f>$U$16+$B$38/100</f>
        <v>20.09196</v>
      </c>
      <c r="U51" s="28">
        <f>$X$17</f>
        <v>0</v>
      </c>
    </row>
    <row r="52" spans="5:21" ht="15" x14ac:dyDescent="0.2">
      <c r="E52" s="15"/>
      <c r="M52" s="56">
        <v>40507</v>
      </c>
      <c r="N52" s="57">
        <v>95</v>
      </c>
      <c r="O52" s="58">
        <f t="shared" si="0"/>
        <v>4.9767337424205742</v>
      </c>
      <c r="T52" s="85">
        <f>$U$17-$B$38/100</f>
        <v>29.88804</v>
      </c>
      <c r="U52" s="28">
        <f>$X$17</f>
        <v>0</v>
      </c>
    </row>
    <row r="53" spans="5:21" ht="15" x14ac:dyDescent="0.2">
      <c r="E53" s="15"/>
      <c r="F53" s="15"/>
      <c r="G53" s="15"/>
      <c r="M53" s="56">
        <v>40577</v>
      </c>
      <c r="N53" s="57">
        <v>131</v>
      </c>
      <c r="O53" s="58">
        <f t="shared" si="0"/>
        <v>5.1984970312658261</v>
      </c>
      <c r="T53" s="85">
        <f>$U$17+$B$38/100</f>
        <v>30.087959999999999</v>
      </c>
      <c r="U53" s="28">
        <f>$X$18</f>
        <v>0</v>
      </c>
    </row>
    <row r="54" spans="5:21" ht="15" x14ac:dyDescent="0.2">
      <c r="E54" s="15"/>
      <c r="F54" s="15"/>
      <c r="G54" s="15"/>
      <c r="M54" s="56">
        <v>40682</v>
      </c>
      <c r="N54" s="57">
        <v>97.9</v>
      </c>
      <c r="O54" s="58">
        <f t="shared" si="0"/>
        <v>4.996536369716754</v>
      </c>
      <c r="T54" s="85">
        <f>$U$18-$B$38/100</f>
        <v>39.884039999999999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40759</v>
      </c>
      <c r="N55" s="57">
        <v>103</v>
      </c>
      <c r="O55" s="58">
        <f t="shared" si="0"/>
        <v>5.0304379213924353</v>
      </c>
      <c r="T55" s="85">
        <f>$U$18+$B$38/100</f>
        <v>40.083960000000005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40856</v>
      </c>
      <c r="N56" s="57">
        <v>109</v>
      </c>
      <c r="O56" s="58">
        <f t="shared" si="0"/>
        <v>5.0689042022202315</v>
      </c>
      <c r="T56" s="85">
        <f>$U$19-$B$38/100</f>
        <v>49.880040000000001</v>
      </c>
      <c r="U56" s="28">
        <f>$X$19</f>
        <v>0</v>
      </c>
    </row>
    <row r="57" spans="5:21" ht="15" x14ac:dyDescent="0.2">
      <c r="E57" s="70">
        <v>1</v>
      </c>
      <c r="F57" s="74">
        <f>$B$21</f>
        <v>201.05771852703049</v>
      </c>
      <c r="G57" s="74">
        <f>$C$21</f>
        <v>41.023362554050578</v>
      </c>
      <c r="H57" s="74">
        <f>$B$22</f>
        <v>216.01564894249515</v>
      </c>
      <c r="I57" s="74">
        <f>$C$22</f>
        <v>26.065432138585948</v>
      </c>
      <c r="J57" s="74">
        <f>$B$31</f>
        <v>194.64514540836768</v>
      </c>
      <c r="K57" s="74">
        <f>$B$32</f>
        <v>219.22939343239693</v>
      </c>
      <c r="M57" s="56">
        <v>40961</v>
      </c>
      <c r="N57" s="57">
        <v>126</v>
      </c>
      <c r="O57" s="58">
        <f t="shared" si="0"/>
        <v>5.1704839950381514</v>
      </c>
      <c r="T57" s="85">
        <f>$U$19+$B$38/100</f>
        <v>50.079960000000007</v>
      </c>
      <c r="U57" s="28">
        <f>$X$20</f>
        <v>0</v>
      </c>
    </row>
    <row r="58" spans="5:21" ht="15" x14ac:dyDescent="0.2">
      <c r="E58" s="70">
        <v>51501</v>
      </c>
      <c r="F58" s="74">
        <f>$B$21</f>
        <v>201.05771852703049</v>
      </c>
      <c r="G58" s="74">
        <f>$C$21</f>
        <v>41.023362554050578</v>
      </c>
      <c r="H58" s="74">
        <f>$B$22</f>
        <v>216.01564894249515</v>
      </c>
      <c r="I58" s="74">
        <f>$C$22</f>
        <v>26.065432138585948</v>
      </c>
      <c r="J58" s="74">
        <f>$B$31</f>
        <v>194.64514540836768</v>
      </c>
      <c r="K58" s="74">
        <f>$B$32</f>
        <v>219.22939343239693</v>
      </c>
      <c r="M58" s="56">
        <v>41044</v>
      </c>
      <c r="N58" s="57">
        <v>203</v>
      </c>
      <c r="O58" s="58">
        <f t="shared" si="0"/>
        <v>5.5333894887275203</v>
      </c>
      <c r="T58" s="85">
        <f>$U$20-$B$38/100</f>
        <v>59.876039999999996</v>
      </c>
      <c r="U58" s="28">
        <f>$X$20</f>
        <v>0</v>
      </c>
    </row>
    <row r="59" spans="5:21" ht="15" x14ac:dyDescent="0.2">
      <c r="M59" s="56">
        <v>41123</v>
      </c>
      <c r="N59" s="57">
        <v>165</v>
      </c>
      <c r="O59" s="58">
        <f t="shared" si="0"/>
        <v>5.3706380281276624</v>
      </c>
      <c r="T59" s="85">
        <f>$U$20+$B$38/100</f>
        <v>60.075960000000002</v>
      </c>
      <c r="U59" s="28">
        <f>$X$21</f>
        <v>1.3518921081946292E-3</v>
      </c>
    </row>
    <row r="60" spans="5:21" ht="15" x14ac:dyDescent="0.2">
      <c r="M60" s="56">
        <v>41235</v>
      </c>
      <c r="N60" s="57">
        <v>153</v>
      </c>
      <c r="O60" s="58">
        <f t="shared" si="0"/>
        <v>5.3132059790417872</v>
      </c>
      <c r="T60" s="85">
        <f>$U$21-$B$38/100</f>
        <v>69.872040000000013</v>
      </c>
      <c r="U60" s="28">
        <f>$X$21</f>
        <v>1.3518921081946292E-3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41326</v>
      </c>
      <c r="N61" s="57">
        <v>176</v>
      </c>
      <c r="O61" s="58">
        <f t="shared" si="0"/>
        <v>5.4205349992722862</v>
      </c>
      <c r="T61" s="85">
        <f>$U$21+$B$38/100</f>
        <v>70.071960000000004</v>
      </c>
      <c r="U61" s="28">
        <f>$X$22</f>
        <v>6.7594605409731457E-3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41428</v>
      </c>
      <c r="N62" s="57">
        <v>124</v>
      </c>
      <c r="O62" s="58">
        <f t="shared" si="0"/>
        <v>5.1590552992145291</v>
      </c>
      <c r="T62" s="85">
        <f>$U$22-$B$38/100</f>
        <v>79.868040000000008</v>
      </c>
      <c r="U62" s="28">
        <f>$X$22</f>
        <v>6.7594605409731457E-3</v>
      </c>
    </row>
    <row r="63" spans="5:21" ht="15" x14ac:dyDescent="0.2">
      <c r="E63" s="72">
        <v>-5</v>
      </c>
      <c r="F63" s="73">
        <f>$B$16+$E63*$B$17</f>
        <v>-83.088664428671308</v>
      </c>
      <c r="G63" s="73">
        <f>NORMDIST($F63,$B$16,$B$17,FALSE)</f>
        <v>3.641613935052887E-8</v>
      </c>
      <c r="H63" s="73">
        <f>EXP($R$26+$E63*$R$27)</f>
        <v>51.610154718025818</v>
      </c>
      <c r="I63" s="73">
        <f t="shared" ref="I63:I113" si="5">H63-$B$26</f>
        <v>1.610154718025818</v>
      </c>
      <c r="J63" s="73">
        <f>1/$H63/SQRT(2*PI())/$R$27*EXP(-POWER(LN($H63)-$R$26,2)/2/POWER($R$27,2))</f>
        <v>1.2301115531356818E-7</v>
      </c>
      <c r="K63" s="73">
        <f>LOGNORMDIST($H63,$R$26,$R$27)</f>
        <v>2.8665157187919333E-7</v>
      </c>
      <c r="M63" s="56">
        <v>41494</v>
      </c>
      <c r="N63" s="57">
        <v>135</v>
      </c>
      <c r="O63" s="58">
        <f t="shared" si="0"/>
        <v>5.2203558250783244</v>
      </c>
      <c r="T63" s="85">
        <f>$U$22+$B$38/100</f>
        <v>80.067959999999999</v>
      </c>
      <c r="U63" s="28">
        <f>$X$23</f>
        <v>6.7594605409731457E-3</v>
      </c>
    </row>
    <row r="64" spans="5:21" ht="15" x14ac:dyDescent="0.2">
      <c r="E64" s="72">
        <v>-4.8</v>
      </c>
      <c r="F64" s="73">
        <f t="shared" ref="F64:F113" si="6">$B$16+$E64*$B$17</f>
        <v>-74.92349622990281</v>
      </c>
      <c r="G64" s="73">
        <f t="shared" ref="G64:G113" si="7">NORMDIST($F64,$B$16,$B$17,FALSE)</f>
        <v>9.7029209799488146E-8</v>
      </c>
      <c r="H64" s="73">
        <f t="shared" ref="H64:H113" si="8">EXP($R$26+$E64*$R$27)</f>
        <v>54.084865967926376</v>
      </c>
      <c r="I64" s="73">
        <f t="shared" si="5"/>
        <v>4.0848659679263761</v>
      </c>
      <c r="J64" s="73">
        <f t="shared" ref="J64:J113" si="9">1/$H64/SQRT(2*PI())/$R$27*EXP(-POWER(LN($H64)-$R$26,2)/2/POWER($R$27,2))</f>
        <v>3.1276092786392731E-7</v>
      </c>
      <c r="K64" s="73">
        <f t="shared" ref="K64:K113" si="10">LOGNORMDIST($H64,$R$26,$R$27)</f>
        <v>7.933281519755893E-7</v>
      </c>
      <c r="M64" s="56">
        <v>41600</v>
      </c>
      <c r="N64" s="57">
        <v>238</v>
      </c>
      <c r="O64" s="58">
        <f t="shared" si="0"/>
        <v>5.6629604801359461</v>
      </c>
      <c r="T64" s="85">
        <f>$U$23-$B$38/100</f>
        <v>89.864040000000003</v>
      </c>
      <c r="U64" s="28">
        <f>$X$23</f>
        <v>6.7594605409731457E-3</v>
      </c>
    </row>
    <row r="65" spans="5:21" ht="15" x14ac:dyDescent="0.2">
      <c r="E65" s="72">
        <v>-4.5999999999999996</v>
      </c>
      <c r="F65" s="73">
        <f t="shared" si="6"/>
        <v>-66.75832803113434</v>
      </c>
      <c r="G65" s="73">
        <f t="shared" si="7"/>
        <v>2.4839297412186242E-7</v>
      </c>
      <c r="H65" s="73">
        <f t="shared" si="8"/>
        <v>56.678239829939734</v>
      </c>
      <c r="I65" s="73">
        <f t="shared" si="5"/>
        <v>6.6782398299397343</v>
      </c>
      <c r="J65" s="73">
        <f t="shared" si="9"/>
        <v>7.6402700471706032E-7</v>
      </c>
      <c r="K65" s="73">
        <f t="shared" si="10"/>
        <v>2.1124547025028651E-6</v>
      </c>
      <c r="M65" s="56">
        <v>41684</v>
      </c>
      <c r="N65" s="57">
        <v>142</v>
      </c>
      <c r="O65" s="58">
        <f t="shared" si="0"/>
        <v>5.2574953720277815</v>
      </c>
      <c r="T65" s="85">
        <f>$U$23+$B$38/100</f>
        <v>90.063959999999994</v>
      </c>
      <c r="U65" s="28">
        <f>$X$24</f>
        <v>6.7594605409731457E-3</v>
      </c>
    </row>
    <row r="66" spans="5:21" ht="15" x14ac:dyDescent="0.2">
      <c r="E66" s="72">
        <v>-4.4000000000000004</v>
      </c>
      <c r="F66" s="73">
        <f t="shared" si="6"/>
        <v>-58.593159832365899</v>
      </c>
      <c r="G66" s="73">
        <f t="shared" si="7"/>
        <v>6.109481319396587E-7</v>
      </c>
      <c r="H66" s="73">
        <f t="shared" si="8"/>
        <v>59.395966186274833</v>
      </c>
      <c r="I66" s="73">
        <f t="shared" si="5"/>
        <v>9.3959661862748334</v>
      </c>
      <c r="J66" s="73">
        <f t="shared" si="9"/>
        <v>1.7932182330468608E-6</v>
      </c>
      <c r="K66" s="73">
        <f t="shared" si="10"/>
        <v>5.4125439077037916E-6</v>
      </c>
      <c r="M66" s="56">
        <v>41782</v>
      </c>
      <c r="N66" s="57">
        <v>190</v>
      </c>
      <c r="O66" s="58">
        <f t="shared" si="0"/>
        <v>5.4806389233419912</v>
      </c>
      <c r="T66" s="85">
        <f>$U$24-$B$38/100</f>
        <v>99.860040000000012</v>
      </c>
      <c r="U66" s="28">
        <f>$X$24</f>
        <v>6.7594605409731457E-3</v>
      </c>
    </row>
    <row r="67" spans="5:21" ht="15" x14ac:dyDescent="0.2">
      <c r="E67" s="72">
        <v>-4.2</v>
      </c>
      <c r="F67" s="73">
        <f t="shared" si="6"/>
        <v>-50.427991633597401</v>
      </c>
      <c r="G67" s="73">
        <f t="shared" si="7"/>
        <v>1.443768611292785E-6</v>
      </c>
      <c r="H67" s="73">
        <f t="shared" si="8"/>
        <v>62.244007749470377</v>
      </c>
      <c r="I67" s="73">
        <f t="shared" si="5"/>
        <v>12.244007749470377</v>
      </c>
      <c r="J67" s="73">
        <f t="shared" si="9"/>
        <v>4.04376401948241E-6</v>
      </c>
      <c r="K67" s="73">
        <f t="shared" si="10"/>
        <v>1.3345749015906336E-5</v>
      </c>
      <c r="M67" s="56">
        <v>41880</v>
      </c>
      <c r="N67" s="57">
        <v>180</v>
      </c>
      <c r="O67" s="58">
        <f t="shared" ref="O67:O130" si="11">IF($N67&gt;0,LN($N67+$B$26))</f>
        <v>5.4380793089231956</v>
      </c>
      <c r="T67" s="85">
        <f>$U$24+$B$38/100</f>
        <v>100.05996</v>
      </c>
      <c r="U67" s="28">
        <f>$X$25</f>
        <v>1.7574597406530178E-2</v>
      </c>
    </row>
    <row r="68" spans="5:21" ht="15" x14ac:dyDescent="0.2">
      <c r="E68" s="72">
        <v>-4</v>
      </c>
      <c r="F68" s="73">
        <f t="shared" si="6"/>
        <v>-42.262823434828931</v>
      </c>
      <c r="G68" s="73">
        <f t="shared" si="7"/>
        <v>3.2780763973746565E-6</v>
      </c>
      <c r="H68" s="73">
        <f t="shared" si="8"/>
        <v>65.228613144631339</v>
      </c>
      <c r="I68" s="73">
        <f t="shared" si="5"/>
        <v>15.228613144631339</v>
      </c>
      <c r="J68" s="73">
        <f t="shared" si="9"/>
        <v>8.7612622873238601E-6</v>
      </c>
      <c r="K68" s="73">
        <f t="shared" si="10"/>
        <v>3.1671241833119809E-5</v>
      </c>
      <c r="M68" s="56">
        <v>41963</v>
      </c>
      <c r="N68" s="57">
        <v>165</v>
      </c>
      <c r="O68" s="58">
        <f t="shared" si="11"/>
        <v>5.3706380281276624</v>
      </c>
      <c r="T68" s="85">
        <f>$U$25-$B$38/100</f>
        <v>109.85604000000001</v>
      </c>
      <c r="U68" s="28">
        <f>$X$25</f>
        <v>1.7574597406530178E-2</v>
      </c>
    </row>
    <row r="69" spans="5:21" ht="15" x14ac:dyDescent="0.2">
      <c r="E69" s="72">
        <v>-3.8</v>
      </c>
      <c r="F69" s="73">
        <f t="shared" si="6"/>
        <v>-34.097655236060461</v>
      </c>
      <c r="G69" s="73">
        <f t="shared" si="7"/>
        <v>7.1510327450570692E-6</v>
      </c>
      <c r="H69" s="73">
        <f t="shared" si="8"/>
        <v>68.356330618961067</v>
      </c>
      <c r="I69" s="73">
        <f t="shared" si="5"/>
        <v>18.356330618961067</v>
      </c>
      <c r="J69" s="73">
        <f t="shared" si="9"/>
        <v>1.8237939939890002E-5</v>
      </c>
      <c r="K69" s="73">
        <f t="shared" si="10"/>
        <v>7.2348043925119407E-5</v>
      </c>
      <c r="M69" s="56">
        <v>42045</v>
      </c>
      <c r="N69" s="57">
        <v>129</v>
      </c>
      <c r="O69" s="58">
        <f t="shared" si="11"/>
        <v>5.1873858058407549</v>
      </c>
      <c r="T69" s="85">
        <f>$U$25+$B$38/100</f>
        <v>110.05596</v>
      </c>
      <c r="U69" s="28">
        <f>$X$26</f>
        <v>8.1113526491677738E-3</v>
      </c>
    </row>
    <row r="70" spans="5:21" ht="15" x14ac:dyDescent="0.2">
      <c r="E70" s="72">
        <v>-3.6</v>
      </c>
      <c r="F70" s="73">
        <f t="shared" si="6"/>
        <v>-25.932487037291992</v>
      </c>
      <c r="G70" s="73">
        <f t="shared" si="7"/>
        <v>1.4988103495677238E-5</v>
      </c>
      <c r="H70" s="73">
        <f t="shared" si="8"/>
        <v>71.634022408665871</v>
      </c>
      <c r="I70" s="73">
        <f t="shared" si="5"/>
        <v>21.634022408665871</v>
      </c>
      <c r="J70" s="73">
        <f t="shared" si="9"/>
        <v>3.6476495033246194E-5</v>
      </c>
      <c r="K70" s="73">
        <f t="shared" si="10"/>
        <v>1.5910859015753469E-4</v>
      </c>
      <c r="M70" s="56">
        <v>42145</v>
      </c>
      <c r="N70" s="57">
        <v>142</v>
      </c>
      <c r="O70" s="58">
        <f t="shared" si="11"/>
        <v>5.2574953720277815</v>
      </c>
      <c r="T70" s="85">
        <f>$U$26-$B$38/100</f>
        <v>119.85204</v>
      </c>
      <c r="U70" s="28">
        <f>$X$26</f>
        <v>8.1113526491677738E-3</v>
      </c>
    </row>
    <row r="71" spans="5:21" ht="15" x14ac:dyDescent="0.2">
      <c r="E71" s="72">
        <v>-3.4</v>
      </c>
      <c r="F71" s="73">
        <f t="shared" si="6"/>
        <v>-17.767318838523494</v>
      </c>
      <c r="G71" s="73">
        <f t="shared" si="7"/>
        <v>3.018233399426781E-5</v>
      </c>
      <c r="H71" s="73">
        <f t="shared" si="8"/>
        <v>75.06887979475384</v>
      </c>
      <c r="I71" s="73">
        <f t="shared" si="5"/>
        <v>25.06887979475384</v>
      </c>
      <c r="J71" s="73">
        <f t="shared" si="9"/>
        <v>7.0093644496311972E-5</v>
      </c>
      <c r="K71" s="73">
        <f t="shared" si="10"/>
        <v>3.3692926567688151E-4</v>
      </c>
      <c r="M71" s="56">
        <v>42236</v>
      </c>
      <c r="N71" s="57">
        <v>177</v>
      </c>
      <c r="O71" s="58">
        <f t="shared" si="11"/>
        <v>5.4249500174814029</v>
      </c>
      <c r="T71" s="85">
        <f>$U$26+$B$38/100</f>
        <v>120.05195999999999</v>
      </c>
      <c r="U71" s="28">
        <f>$X$27</f>
        <v>5.4075684327785168E-3</v>
      </c>
    </row>
    <row r="72" spans="5:21" ht="15" x14ac:dyDescent="0.2">
      <c r="E72" s="72">
        <v>-3.2</v>
      </c>
      <c r="F72" s="73">
        <f t="shared" si="6"/>
        <v>-9.6021506397550525</v>
      </c>
      <c r="G72" s="73">
        <f t="shared" si="7"/>
        <v>5.8396548446471013E-5</v>
      </c>
      <c r="H72" s="73">
        <f t="shared" si="8"/>
        <v>78.668438880761087</v>
      </c>
      <c r="I72" s="73">
        <f t="shared" si="5"/>
        <v>28.668438880761087</v>
      </c>
      <c r="J72" s="73">
        <f t="shared" si="9"/>
        <v>1.2941136046705072E-4</v>
      </c>
      <c r="K72" s="73">
        <f t="shared" si="10"/>
        <v>6.8713793791584719E-4</v>
      </c>
      <c r="M72" s="56">
        <v>42327</v>
      </c>
      <c r="N72" s="57">
        <v>199</v>
      </c>
      <c r="O72" s="58">
        <f t="shared" si="11"/>
        <v>5.5174528964647074</v>
      </c>
      <c r="T72" s="85">
        <f>$U$27-$B$38/100</f>
        <v>129.84804</v>
      </c>
      <c r="U72" s="28">
        <f>$X$27</f>
        <v>5.4075684327785168E-3</v>
      </c>
    </row>
    <row r="73" spans="5:21" ht="15" x14ac:dyDescent="0.2">
      <c r="E73" s="72">
        <v>-3</v>
      </c>
      <c r="F73" s="73">
        <f t="shared" si="6"/>
        <v>-1.4369824409865544</v>
      </c>
      <c r="G73" s="73">
        <f t="shared" si="7"/>
        <v>1.0855498145418359E-4</v>
      </c>
      <c r="H73" s="73">
        <f t="shared" si="8"/>
        <v>82.440597127020666</v>
      </c>
      <c r="I73" s="73">
        <f t="shared" si="5"/>
        <v>32.440597127020666</v>
      </c>
      <c r="J73" s="73">
        <f t="shared" si="9"/>
        <v>2.2955903205389754E-4</v>
      </c>
      <c r="K73" s="73">
        <f t="shared" si="10"/>
        <v>1.3498980316300876E-3</v>
      </c>
      <c r="M73" s="56">
        <v>42417</v>
      </c>
      <c r="N73" s="57">
        <v>187</v>
      </c>
      <c r="O73" s="58">
        <f t="shared" si="11"/>
        <v>5.4680601411351315</v>
      </c>
      <c r="T73" s="85">
        <f>$U$27+$B$38/100</f>
        <v>130.04796000000002</v>
      </c>
      <c r="U73" s="28">
        <f>$X$28</f>
        <v>9.4632447573624046E-3</v>
      </c>
    </row>
    <row r="74" spans="5:21" ht="15" x14ac:dyDescent="0.2">
      <c r="E74" s="72">
        <v>-2.8</v>
      </c>
      <c r="F74" s="73">
        <f t="shared" si="6"/>
        <v>6.7281857577819153</v>
      </c>
      <c r="G74" s="73">
        <f t="shared" si="7"/>
        <v>1.9388336872653352E-4</v>
      </c>
      <c r="H74" s="73">
        <f t="shared" si="8"/>
        <v>86.393630677751432</v>
      </c>
      <c r="I74" s="73">
        <f t="shared" si="5"/>
        <v>36.393630677751432</v>
      </c>
      <c r="J74" s="73">
        <f t="shared" si="9"/>
        <v>3.9124120477191976E-4</v>
      </c>
      <c r="K74" s="73">
        <f t="shared" si="10"/>
        <v>2.5551303304279438E-3</v>
      </c>
      <c r="M74" s="56">
        <v>42502</v>
      </c>
      <c r="N74" s="57">
        <v>98.2</v>
      </c>
      <c r="O74" s="58">
        <f t="shared" si="11"/>
        <v>4.9985627128619861</v>
      </c>
      <c r="T74" s="85">
        <f>$U$28-$B$38/100</f>
        <v>139.84404000000001</v>
      </c>
      <c r="U74" s="28">
        <f>$X$28</f>
        <v>9.4632447573624046E-3</v>
      </c>
    </row>
    <row r="75" spans="5:21" ht="15" x14ac:dyDescent="0.2">
      <c r="E75" s="72">
        <v>-2.6</v>
      </c>
      <c r="F75" s="73">
        <f t="shared" si="6"/>
        <v>14.893353956550385</v>
      </c>
      <c r="G75" s="73">
        <f t="shared" si="7"/>
        <v>3.327051911982484E-4</v>
      </c>
      <c r="H75" s="73">
        <f t="shared" si="8"/>
        <v>90.536212518981827</v>
      </c>
      <c r="I75" s="73">
        <f t="shared" si="5"/>
        <v>40.536212518981827</v>
      </c>
      <c r="J75" s="73">
        <f t="shared" si="9"/>
        <v>6.4065321665526256E-4</v>
      </c>
      <c r="K75" s="73">
        <f t="shared" si="10"/>
        <v>4.6611880237187606E-3</v>
      </c>
      <c r="M75" s="56">
        <v>42607</v>
      </c>
      <c r="N75" s="57">
        <v>114</v>
      </c>
      <c r="O75" s="58">
        <f t="shared" si="11"/>
        <v>5.0998664278241987</v>
      </c>
      <c r="T75" s="85">
        <f>$U$28+$B$38/100</f>
        <v>140.04396000000003</v>
      </c>
      <c r="U75" s="28">
        <f>$X$29</f>
        <v>8.1113526491677738E-3</v>
      </c>
    </row>
    <row r="76" spans="5:21" ht="15" x14ac:dyDescent="0.2">
      <c r="E76" s="72">
        <v>-2.4</v>
      </c>
      <c r="F76" s="73">
        <f t="shared" si="6"/>
        <v>23.058522155318869</v>
      </c>
      <c r="G76" s="73">
        <f t="shared" si="7"/>
        <v>5.4853812560090543E-4</v>
      </c>
      <c r="H76" s="73">
        <f t="shared" si="8"/>
        <v>94.877431507148458</v>
      </c>
      <c r="I76" s="73">
        <f t="shared" si="5"/>
        <v>44.877431507148458</v>
      </c>
      <c r="J76" s="73">
        <f t="shared" si="9"/>
        <v>1.0079283370921532E-3</v>
      </c>
      <c r="K76" s="73">
        <f t="shared" si="10"/>
        <v>8.1975359245961138E-3</v>
      </c>
      <c r="M76" s="56">
        <v>42699</v>
      </c>
      <c r="N76" s="57">
        <v>82.5</v>
      </c>
      <c r="O76" s="58">
        <f t="shared" si="11"/>
        <v>4.8865826454262766</v>
      </c>
      <c r="T76" s="85">
        <f>$U$29-$B$38/100</f>
        <v>149.84003999999999</v>
      </c>
      <c r="U76" s="28">
        <f>$X$29</f>
        <v>8.1113526491677738E-3</v>
      </c>
    </row>
    <row r="77" spans="5:21" ht="15" x14ac:dyDescent="0.2">
      <c r="E77" s="72">
        <v>-2.2000000000000002</v>
      </c>
      <c r="F77" s="73">
        <f t="shared" si="6"/>
        <v>31.223690354087324</v>
      </c>
      <c r="G77" s="73">
        <f t="shared" si="7"/>
        <v>8.6892497454202952E-4</v>
      </c>
      <c r="H77" s="73">
        <f t="shared" si="8"/>
        <v>99.426812310116745</v>
      </c>
      <c r="I77" s="73">
        <f t="shared" si="5"/>
        <v>49.426812310116745</v>
      </c>
      <c r="J77" s="73">
        <f t="shared" si="9"/>
        <v>1.5235773936413206E-3</v>
      </c>
      <c r="K77" s="73">
        <f t="shared" si="10"/>
        <v>1.3903447513498564E-2</v>
      </c>
      <c r="L77" s="16"/>
      <c r="M77" s="56"/>
      <c r="N77" s="57"/>
      <c r="O77" s="58" t="b">
        <f t="shared" si="11"/>
        <v>0</v>
      </c>
      <c r="T77" s="85">
        <f>$U$29+$B$38/100</f>
        <v>150.03996000000001</v>
      </c>
      <c r="U77" s="28">
        <f>$X$30</f>
        <v>4.0556763245838869E-3</v>
      </c>
    </row>
    <row r="78" spans="5:21" ht="15" x14ac:dyDescent="0.2">
      <c r="E78" s="72">
        <v>-2</v>
      </c>
      <c r="F78" s="73">
        <f t="shared" si="6"/>
        <v>39.388858552855808</v>
      </c>
      <c r="G78" s="73">
        <f t="shared" si="7"/>
        <v>1.3224704059698693E-3</v>
      </c>
      <c r="H78" s="73">
        <f t="shared" si="8"/>
        <v>104.19433630437564</v>
      </c>
      <c r="I78" s="73">
        <f t="shared" si="5"/>
        <v>54.194336304375639</v>
      </c>
      <c r="J78" s="73">
        <f t="shared" si="9"/>
        <v>2.2127258308485818E-3</v>
      </c>
      <c r="K78" s="73">
        <f t="shared" si="10"/>
        <v>2.2750131948179281E-2</v>
      </c>
      <c r="L78" s="16"/>
      <c r="M78" s="56"/>
      <c r="N78" s="57"/>
      <c r="O78" s="58" t="b">
        <f t="shared" si="11"/>
        <v>0</v>
      </c>
      <c r="T78" s="85">
        <f>$U$30-$B$38/100</f>
        <v>159.83604</v>
      </c>
      <c r="U78" s="28">
        <f>$X$30</f>
        <v>4.0556763245838869E-3</v>
      </c>
    </row>
    <row r="79" spans="5:21" ht="15" x14ac:dyDescent="0.2">
      <c r="E79" s="72">
        <v>-1.8</v>
      </c>
      <c r="F79" s="73">
        <f t="shared" si="6"/>
        <v>47.554026751624278</v>
      </c>
      <c r="G79" s="73">
        <f t="shared" si="7"/>
        <v>1.9338280946325625E-3</v>
      </c>
      <c r="H79" s="73">
        <f t="shared" si="8"/>
        <v>109.1904634742541</v>
      </c>
      <c r="I79" s="73">
        <f t="shared" si="5"/>
        <v>59.190463474254102</v>
      </c>
      <c r="J79" s="73">
        <f t="shared" si="9"/>
        <v>3.0875849267426635E-3</v>
      </c>
      <c r="K79" s="73">
        <f t="shared" si="10"/>
        <v>3.5930319112925865E-2</v>
      </c>
      <c r="L79" s="16"/>
      <c r="M79" s="56"/>
      <c r="N79" s="57"/>
      <c r="O79" s="58" t="b">
        <f t="shared" si="11"/>
        <v>0</v>
      </c>
      <c r="T79" s="85">
        <f>$U$30+$B$38/100</f>
        <v>160.03596000000002</v>
      </c>
      <c r="U79" s="28">
        <f>$X$31</f>
        <v>4.0556763245838869E-3</v>
      </c>
    </row>
    <row r="80" spans="5:21" ht="15" x14ac:dyDescent="0.2">
      <c r="E80" s="72">
        <v>-1.6</v>
      </c>
      <c r="F80" s="73">
        <f t="shared" si="6"/>
        <v>55.719194950392748</v>
      </c>
      <c r="G80" s="73">
        <f t="shared" si="7"/>
        <v>2.7169271221182032E-3</v>
      </c>
      <c r="H80" s="73">
        <f t="shared" si="8"/>
        <v>114.42615536120779</v>
      </c>
      <c r="I80" s="73">
        <f t="shared" si="5"/>
        <v>64.42615536120779</v>
      </c>
      <c r="J80" s="73">
        <f t="shared" si="9"/>
        <v>4.1394099490476765E-3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169.83204000000001</v>
      </c>
      <c r="U80" s="28">
        <f>$X$31</f>
        <v>4.0556763245838869E-3</v>
      </c>
    </row>
    <row r="81" spans="5:21" ht="15" x14ac:dyDescent="0.2">
      <c r="E81" s="72">
        <v>-1.4</v>
      </c>
      <c r="F81" s="73">
        <f t="shared" si="6"/>
        <v>63.884363149161231</v>
      </c>
      <c r="G81" s="73">
        <f t="shared" si="7"/>
        <v>3.6674680053333819E-3</v>
      </c>
      <c r="H81" s="73">
        <f t="shared" si="8"/>
        <v>119.91289911352493</v>
      </c>
      <c r="I81" s="73">
        <f t="shared" si="5"/>
        <v>69.912899113524929</v>
      </c>
      <c r="J81" s="73">
        <f t="shared" si="9"/>
        <v>5.3319514580156581E-3</v>
      </c>
      <c r="K81" s="73">
        <f t="shared" si="10"/>
        <v>8.0756659233770872E-2</v>
      </c>
      <c r="L81" s="14"/>
      <c r="M81" s="56"/>
      <c r="N81" s="57"/>
      <c r="O81" s="58" t="b">
        <f t="shared" si="11"/>
        <v>0</v>
      </c>
      <c r="T81" s="85">
        <f>$U$31+$B$38/100</f>
        <v>170.03196000000003</v>
      </c>
      <c r="U81" s="28">
        <f>$X$32</f>
        <v>6.7594605409731457E-3</v>
      </c>
    </row>
    <row r="82" spans="5:21" ht="15" x14ac:dyDescent="0.2">
      <c r="E82" s="72">
        <v>-1.2</v>
      </c>
      <c r="F82" s="73">
        <f t="shared" si="6"/>
        <v>72.049531347929701</v>
      </c>
      <c r="G82" s="73">
        <f t="shared" si="7"/>
        <v>4.7564495980009667E-3</v>
      </c>
      <c r="H82" s="73">
        <f t="shared" si="8"/>
        <v>125.66273268921834</v>
      </c>
      <c r="I82" s="73">
        <f t="shared" si="5"/>
        <v>75.662732689218345</v>
      </c>
      <c r="J82" s="73">
        <f t="shared" si="9"/>
        <v>6.5987573002225563E-3</v>
      </c>
      <c r="K82" s="73">
        <f t="shared" si="10"/>
        <v>0.11506967022170858</v>
      </c>
      <c r="L82" s="14"/>
      <c r="M82" s="56"/>
      <c r="N82" s="57"/>
      <c r="O82" s="58" t="b">
        <f t="shared" si="11"/>
        <v>0</v>
      </c>
      <c r="T82" s="85">
        <f>$U$32-$B$38/100</f>
        <v>179.82803999999999</v>
      </c>
      <c r="U82" s="28">
        <f>$X$32</f>
        <v>6.7594605409731457E-3</v>
      </c>
    </row>
    <row r="83" spans="5:21" ht="15" x14ac:dyDescent="0.2">
      <c r="E83" s="72">
        <v>-1</v>
      </c>
      <c r="F83" s="73">
        <f t="shared" si="6"/>
        <v>80.214699546698171</v>
      </c>
      <c r="G83" s="73">
        <f t="shared" si="7"/>
        <v>5.9269011642807063E-3</v>
      </c>
      <c r="H83" s="73">
        <f t="shared" si="8"/>
        <v>131.6882712673974</v>
      </c>
      <c r="I83" s="73">
        <f t="shared" si="5"/>
        <v>81.688271267397397</v>
      </c>
      <c r="J83" s="73">
        <f t="shared" si="9"/>
        <v>7.8463259355218296E-3</v>
      </c>
      <c r="K83" s="73">
        <f t="shared" si="10"/>
        <v>0.15865525393145721</v>
      </c>
      <c r="L83" s="14"/>
      <c r="M83" s="56"/>
      <c r="N83" s="57"/>
      <c r="O83" s="58" t="b">
        <f t="shared" si="11"/>
        <v>0</v>
      </c>
      <c r="T83" s="85">
        <f>$U$32+$B$38/100</f>
        <v>180.02796000000001</v>
      </c>
      <c r="U83" s="28">
        <f>$X$33</f>
        <v>2.7037842163892584E-3</v>
      </c>
    </row>
    <row r="84" spans="5:21" ht="15" x14ac:dyDescent="0.2">
      <c r="E84" s="72">
        <v>-0.8</v>
      </c>
      <c r="F84" s="73">
        <f t="shared" si="6"/>
        <v>88.37986774546664</v>
      </c>
      <c r="G84" s="73">
        <f t="shared" si="7"/>
        <v>7.0957889833837325E-3</v>
      </c>
      <c r="H84" s="73">
        <f t="shared" si="8"/>
        <v>138.00273492606885</v>
      </c>
      <c r="I84" s="73">
        <f t="shared" si="5"/>
        <v>88.002734926068854</v>
      </c>
      <c r="J84" s="73">
        <f t="shared" si="9"/>
        <v>8.9639361557879802E-3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189.82404</v>
      </c>
      <c r="U84" s="28">
        <f>$X$33</f>
        <v>2.7037842163892584E-3</v>
      </c>
    </row>
    <row r="85" spans="5:21" ht="15" x14ac:dyDescent="0.2">
      <c r="E85" s="72">
        <v>-0.6</v>
      </c>
      <c r="F85" s="73">
        <f t="shared" si="6"/>
        <v>96.545035944235124</v>
      </c>
      <c r="G85" s="73">
        <f t="shared" si="7"/>
        <v>8.1621001498060706E-3</v>
      </c>
      <c r="H85" s="73">
        <f t="shared" si="8"/>
        <v>144.61997764708912</v>
      </c>
      <c r="I85" s="73">
        <f t="shared" si="5"/>
        <v>94.619977647089115</v>
      </c>
      <c r="J85" s="73">
        <f t="shared" si="9"/>
        <v>9.8391908668524486E-3</v>
      </c>
      <c r="K85" s="73">
        <f t="shared" si="10"/>
        <v>0.27425311775007322</v>
      </c>
      <c r="M85" s="56"/>
      <c r="N85" s="57"/>
      <c r="O85" s="58" t="b">
        <f t="shared" si="11"/>
        <v>0</v>
      </c>
      <c r="T85" s="85">
        <f>$U$33+$B$38/100</f>
        <v>190.02396000000002</v>
      </c>
      <c r="U85" s="28">
        <f>$X$34</f>
        <v>4.0556763245838869E-3</v>
      </c>
    </row>
    <row r="86" spans="5:21" ht="15" x14ac:dyDescent="0.2">
      <c r="E86" s="72">
        <v>-0.4</v>
      </c>
      <c r="F86" s="73">
        <f t="shared" si="6"/>
        <v>104.71020414300359</v>
      </c>
      <c r="G86" s="73">
        <f t="shared" si="7"/>
        <v>9.0205157159865563E-3</v>
      </c>
      <c r="H86" s="73">
        <f t="shared" si="8"/>
        <v>151.55451771190749</v>
      </c>
      <c r="I86" s="73">
        <f t="shared" si="5"/>
        <v>101.55451771190749</v>
      </c>
      <c r="J86" s="73">
        <f t="shared" si="9"/>
        <v>1.037643659777741E-2</v>
      </c>
      <c r="K86" s="73">
        <f t="shared" si="10"/>
        <v>0.34457825838967648</v>
      </c>
      <c r="M86" s="56"/>
      <c r="N86" s="57"/>
      <c r="O86" s="58" t="b">
        <f t="shared" si="11"/>
        <v>0</v>
      </c>
      <c r="T86" s="85">
        <f>$U$34-$B$38/100</f>
        <v>199.82004000000001</v>
      </c>
      <c r="U86" s="28">
        <f>$X$34</f>
        <v>4.0556763245838869E-3</v>
      </c>
    </row>
    <row r="87" spans="5:21" ht="15" x14ac:dyDescent="0.2">
      <c r="E87" s="72">
        <v>-0.2</v>
      </c>
      <c r="F87" s="73">
        <f t="shared" si="6"/>
        <v>112.87537234177208</v>
      </c>
      <c r="G87" s="73">
        <f t="shared" si="7"/>
        <v>9.5783132559213082E-3</v>
      </c>
      <c r="H87" s="73">
        <f t="shared" si="8"/>
        <v>158.82156955478669</v>
      </c>
      <c r="I87" s="73">
        <f t="shared" si="5"/>
        <v>108.82156955478669</v>
      </c>
      <c r="J87" s="73">
        <f t="shared" si="9"/>
        <v>1.0513935512278057E-2</v>
      </c>
      <c r="K87" s="73">
        <f t="shared" si="10"/>
        <v>0.42074029056089735</v>
      </c>
      <c r="M87" s="56"/>
      <c r="N87" s="57"/>
      <c r="O87" s="58" t="b">
        <f t="shared" si="11"/>
        <v>0</v>
      </c>
      <c r="T87" s="85">
        <f>$U$34+$B$38/100</f>
        <v>200.01996000000003</v>
      </c>
      <c r="U87" s="28">
        <f>$X$35</f>
        <v>5.4075684327785168E-3</v>
      </c>
    </row>
    <row r="88" spans="5:21" ht="15" x14ac:dyDescent="0.2">
      <c r="E88" s="72">
        <v>0</v>
      </c>
      <c r="F88" s="73">
        <f t="shared" si="6"/>
        <v>121.04054054054055</v>
      </c>
      <c r="G88" s="73">
        <f t="shared" si="7"/>
        <v>9.7718080188869561E-3</v>
      </c>
      <c r="H88" s="73">
        <f t="shared" si="8"/>
        <v>166.43707714338959</v>
      </c>
      <c r="I88" s="73">
        <f t="shared" si="5"/>
        <v>116.43707714338959</v>
      </c>
      <c r="J88" s="73">
        <f t="shared" si="9"/>
        <v>1.0235536275209154E-2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209.81603999999999</v>
      </c>
      <c r="U88" s="28">
        <f>$X$35</f>
        <v>5.4075684327785168E-3</v>
      </c>
    </row>
    <row r="89" spans="5:21" ht="15" x14ac:dyDescent="0.2">
      <c r="E89" s="72">
        <v>0.2</v>
      </c>
      <c r="F89" s="73">
        <f t="shared" si="6"/>
        <v>129.20570873930902</v>
      </c>
      <c r="G89" s="73">
        <f t="shared" si="7"/>
        <v>9.5783132559213082E-3</v>
      </c>
      <c r="H89" s="73">
        <f t="shared" si="8"/>
        <v>174.4177489599663</v>
      </c>
      <c r="I89" s="73">
        <f t="shared" si="5"/>
        <v>124.4177489599663</v>
      </c>
      <c r="J89" s="73">
        <f t="shared" si="9"/>
        <v>9.5737948128265648E-3</v>
      </c>
      <c r="K89" s="73">
        <f t="shared" si="10"/>
        <v>0.57925970943910265</v>
      </c>
      <c r="M89" s="56"/>
      <c r="N89" s="57"/>
      <c r="O89" s="58" t="b">
        <f t="shared" si="11"/>
        <v>0</v>
      </c>
      <c r="T89" s="85">
        <f>$U$35+$B$38/100</f>
        <v>210.01596000000001</v>
      </c>
      <c r="U89" s="28">
        <f>$X$36</f>
        <v>1.3518921081946292E-3</v>
      </c>
    </row>
    <row r="90" spans="5:21" ht="15" x14ac:dyDescent="0.2">
      <c r="E90" s="72">
        <v>0.4</v>
      </c>
      <c r="F90" s="73">
        <f t="shared" si="6"/>
        <v>137.37087693807749</v>
      </c>
      <c r="G90" s="73">
        <f t="shared" si="7"/>
        <v>9.020515715986558E-3</v>
      </c>
      <c r="H90" s="73">
        <f t="shared" si="8"/>
        <v>182.78109465989311</v>
      </c>
      <c r="I90" s="73">
        <f t="shared" si="5"/>
        <v>132.78109465989311</v>
      </c>
      <c r="J90" s="73">
        <f t="shared" si="9"/>
        <v>8.6037117080982745E-3</v>
      </c>
      <c r="K90" s="73">
        <f t="shared" si="10"/>
        <v>0.65542174161032352</v>
      </c>
      <c r="M90" s="56"/>
      <c r="N90" s="57"/>
      <c r="O90" s="58" t="b">
        <f t="shared" si="11"/>
        <v>0</v>
      </c>
      <c r="T90" s="85">
        <f>$U$36-$B$38/100</f>
        <v>219.81204</v>
      </c>
      <c r="U90" s="28">
        <f>$X$36</f>
        <v>1.3518921081946292E-3</v>
      </c>
    </row>
    <row r="91" spans="5:21" ht="15" x14ac:dyDescent="0.2">
      <c r="E91" s="72">
        <v>0.6</v>
      </c>
      <c r="F91" s="73">
        <f t="shared" si="6"/>
        <v>145.53604513684596</v>
      </c>
      <c r="G91" s="73">
        <f t="shared" si="7"/>
        <v>8.1621001498060741E-3</v>
      </c>
      <c r="H91" s="73">
        <f t="shared" si="8"/>
        <v>191.54546348799121</v>
      </c>
      <c r="I91" s="73">
        <f t="shared" si="5"/>
        <v>141.54546348799121</v>
      </c>
      <c r="J91" s="73">
        <f t="shared" si="9"/>
        <v>7.4287510511511258E-3</v>
      </c>
      <c r="K91" s="73">
        <f t="shared" si="10"/>
        <v>0.72574688224992678</v>
      </c>
      <c r="M91" s="56"/>
      <c r="N91" s="57"/>
      <c r="O91" s="58" t="b">
        <f t="shared" si="11"/>
        <v>0</v>
      </c>
      <c r="T91" s="85">
        <f>$U$36+$B$38/100</f>
        <v>220.01196000000002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153.70121333561485</v>
      </c>
      <c r="G92" s="73">
        <f t="shared" si="7"/>
        <v>7.095788983383677E-3</v>
      </c>
      <c r="H92" s="73">
        <f t="shared" si="8"/>
        <v>200.73008453691077</v>
      </c>
      <c r="I92" s="73">
        <f t="shared" si="5"/>
        <v>150.73008453691077</v>
      </c>
      <c r="J92" s="73">
        <f t="shared" si="9"/>
        <v>6.1627419131282763E-3</v>
      </c>
      <c r="K92" s="73">
        <f t="shared" si="10"/>
        <v>0.78814460141660669</v>
      </c>
      <c r="M92" s="56"/>
      <c r="N92" s="57"/>
      <c r="O92" s="58" t="b">
        <f t="shared" si="11"/>
        <v>0</v>
      </c>
      <c r="T92" s="85">
        <f>$U$37-$B$38/100</f>
        <v>229.80804000000001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161.86638153438332</v>
      </c>
      <c r="G93" s="73">
        <f t="shared" si="7"/>
        <v>5.9269011642806473E-3</v>
      </c>
      <c r="H93" s="73">
        <f t="shared" si="8"/>
        <v>210.35510893590725</v>
      </c>
      <c r="I93" s="73">
        <f t="shared" si="5"/>
        <v>160.35510893590725</v>
      </c>
      <c r="J93" s="73">
        <f t="shared" si="9"/>
        <v>4.9120228335610694E-3</v>
      </c>
      <c r="K93" s="73">
        <f t="shared" si="10"/>
        <v>0.84134474606854559</v>
      </c>
      <c r="M93" s="56"/>
      <c r="N93" s="57"/>
      <c r="O93" s="58" t="b">
        <f t="shared" si="11"/>
        <v>0</v>
      </c>
      <c r="T93" s="85">
        <f>$U$37+$B$38/100</f>
        <v>230.00796000000003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170.03154973315179</v>
      </c>
      <c r="G94" s="73">
        <f t="shared" si="7"/>
        <v>4.7564495980009121E-3</v>
      </c>
      <c r="H94" s="73">
        <f t="shared" si="8"/>
        <v>220.44165406257645</v>
      </c>
      <c r="I94" s="73">
        <f t="shared" si="5"/>
        <v>170.44165406257645</v>
      </c>
      <c r="J94" s="73">
        <f t="shared" si="9"/>
        <v>3.7616206348347172E-3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239.80403999999999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178.19671793192026</v>
      </c>
      <c r="G95" s="73">
        <f t="shared" si="7"/>
        <v>3.6674680053333311E-3</v>
      </c>
      <c r="H95" s="73">
        <f t="shared" si="8"/>
        <v>231.0118498745415</v>
      </c>
      <c r="I95" s="73">
        <f t="shared" si="5"/>
        <v>181.0118498745415</v>
      </c>
      <c r="J95" s="73">
        <f t="shared" si="9"/>
        <v>2.7676924695008826E-3</v>
      </c>
      <c r="K95" s="73">
        <f t="shared" si="10"/>
        <v>0.91924334076623027</v>
      </c>
      <c r="M95" s="56"/>
      <c r="N95" s="57"/>
      <c r="O95" s="58" t="b">
        <f t="shared" si="11"/>
        <v>0</v>
      </c>
      <c r="T95" s="85">
        <f>$U$38+$B$38/100</f>
        <v>240.00396000000001</v>
      </c>
      <c r="U95" s="28">
        <f>$X$39</f>
        <v>1.3518921081946292E-3</v>
      </c>
    </row>
    <row r="96" spans="5:21" ht="15" x14ac:dyDescent="0.2">
      <c r="E96" s="72">
        <v>1.6000000000000101</v>
      </c>
      <c r="F96" s="73">
        <f t="shared" si="6"/>
        <v>186.36188613068873</v>
      </c>
      <c r="G96" s="73">
        <f t="shared" si="7"/>
        <v>2.7169271221181629E-3</v>
      </c>
      <c r="H96" s="73">
        <f t="shared" si="8"/>
        <v>242.08888746275093</v>
      </c>
      <c r="I96" s="73">
        <f t="shared" si="5"/>
        <v>192.08888746275093</v>
      </c>
      <c r="J96" s="73">
        <f t="shared" si="9"/>
        <v>1.9565407189800453E-3</v>
      </c>
      <c r="K96" s="73">
        <f t="shared" si="10"/>
        <v>0.94520070830044334</v>
      </c>
      <c r="M96" s="56"/>
      <c r="N96" s="57"/>
      <c r="O96" s="58" t="b">
        <f t="shared" si="11"/>
        <v>0</v>
      </c>
      <c r="T96" s="85">
        <f>$U$39-$B$38/100</f>
        <v>249.80004</v>
      </c>
      <c r="U96" s="28">
        <f>$X$39</f>
        <v>1.3518921081946292E-3</v>
      </c>
    </row>
    <row r="97" spans="5:21" ht="15" x14ac:dyDescent="0.2">
      <c r="E97" s="72">
        <v>1.80000000000001</v>
      </c>
      <c r="F97" s="73">
        <f t="shared" si="6"/>
        <v>194.52705432945723</v>
      </c>
      <c r="G97" s="73">
        <f t="shared" si="7"/>
        <v>1.9338280946325269E-3</v>
      </c>
      <c r="H97" s="73">
        <f t="shared" si="8"/>
        <v>253.6970699329099</v>
      </c>
      <c r="I97" s="73">
        <f t="shared" si="5"/>
        <v>203.6970699329099</v>
      </c>
      <c r="J97" s="73">
        <f t="shared" si="9"/>
        <v>1.328887358676632E-3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249.99996000000002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202.6922225282257</v>
      </c>
      <c r="G98" s="73">
        <f t="shared" si="7"/>
        <v>1.3224704059698424E-3</v>
      </c>
      <c r="H98" s="73">
        <f t="shared" si="8"/>
        <v>265.86186572668225</v>
      </c>
      <c r="I98" s="73">
        <f t="shared" si="5"/>
        <v>215.86186572668225</v>
      </c>
      <c r="J98" s="73">
        <f t="shared" si="9"/>
        <v>8.6719281360129368E-4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210.85739072699417</v>
      </c>
      <c r="G99" s="73">
        <f t="shared" si="7"/>
        <v>8.6892497454201087E-4</v>
      </c>
      <c r="H99" s="73">
        <f t="shared" si="8"/>
        <v>278.60996449964671</v>
      </c>
      <c r="I99" s="73">
        <f t="shared" si="5"/>
        <v>228.60996449964671</v>
      </c>
      <c r="J99" s="73">
        <f t="shared" si="9"/>
        <v>5.4371509586729789E-4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219.02255892576267</v>
      </c>
      <c r="G100" s="73">
        <f t="shared" si="7"/>
        <v>5.4853812560089167E-4</v>
      </c>
      <c r="H100" s="73">
        <f t="shared" si="8"/>
        <v>291.96933567860714</v>
      </c>
      <c r="I100" s="73">
        <f t="shared" si="5"/>
        <v>241.96933567860714</v>
      </c>
      <c r="J100" s="73">
        <f t="shared" si="9"/>
        <v>3.2753320325336859E-4</v>
      </c>
      <c r="K100" s="73">
        <f t="shared" si="10"/>
        <v>0.99180246407540418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227.18772712453111</v>
      </c>
      <c r="G101" s="73">
        <f t="shared" si="7"/>
        <v>3.3270519119824E-4</v>
      </c>
      <c r="H101" s="73">
        <f t="shared" si="8"/>
        <v>305.9692898267291</v>
      </c>
      <c r="I101" s="73">
        <f t="shared" si="5"/>
        <v>255.9692898267291</v>
      </c>
      <c r="J101" s="73">
        <f t="shared" si="9"/>
        <v>1.8956907671000326E-4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235.35289532329961</v>
      </c>
      <c r="G102" s="73">
        <f t="shared" si="7"/>
        <v>1.9388336872652772E-4</v>
      </c>
      <c r="H102" s="73">
        <f t="shared" si="8"/>
        <v>320.64054295114238</v>
      </c>
      <c r="I102" s="73">
        <f t="shared" si="5"/>
        <v>270.64054295114238</v>
      </c>
      <c r="J102" s="73">
        <f t="shared" si="9"/>
        <v>1.0541632645667355E-4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243.51806352206808</v>
      </c>
      <c r="G103" s="73">
        <f t="shared" si="7"/>
        <v>1.0855498145418034E-4</v>
      </c>
      <c r="H103" s="73">
        <f t="shared" si="8"/>
        <v>336.01528389409623</v>
      </c>
      <c r="I103" s="73">
        <f t="shared" si="5"/>
        <v>286.01528389409623</v>
      </c>
      <c r="J103" s="73">
        <f t="shared" si="9"/>
        <v>5.6321794232397011E-5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251.68323172083655</v>
      </c>
      <c r="G104" s="73">
        <f t="shared" si="7"/>
        <v>5.8396548446469251E-5</v>
      </c>
      <c r="H104" s="73">
        <f t="shared" si="8"/>
        <v>352.12724495552698</v>
      </c>
      <c r="I104" s="73">
        <f t="shared" si="5"/>
        <v>302.12724495552698</v>
      </c>
      <c r="J104" s="73">
        <f t="shared" si="9"/>
        <v>2.8911678511737594E-5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259.84839991960501</v>
      </c>
      <c r="G105" s="73">
        <f t="shared" si="7"/>
        <v>3.0182333994266739E-5</v>
      </c>
      <c r="H105" s="73">
        <f t="shared" si="8"/>
        <v>369.01177590198409</v>
      </c>
      <c r="I105" s="73">
        <f t="shared" si="5"/>
        <v>319.01177590198409</v>
      </c>
      <c r="J105" s="73">
        <f t="shared" si="9"/>
        <v>1.4259304761231485E-5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268.01356811837348</v>
      </c>
      <c r="G106" s="73">
        <f t="shared" si="7"/>
        <v>1.4988103495676719E-5</v>
      </c>
      <c r="H106" s="73">
        <f t="shared" si="8"/>
        <v>386.70592152428878</v>
      </c>
      <c r="I106" s="73">
        <f t="shared" si="5"/>
        <v>336.70592152428878</v>
      </c>
      <c r="J106" s="73">
        <f t="shared" si="9"/>
        <v>6.7569641868980779E-6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276.17873631714195</v>
      </c>
      <c r="G107" s="73">
        <f t="shared" si="7"/>
        <v>7.1510327450568023E-6</v>
      </c>
      <c r="H107" s="73">
        <f t="shared" si="8"/>
        <v>405.24850291409177</v>
      </c>
      <c r="I107" s="73">
        <f t="shared" si="5"/>
        <v>355.24850291409177</v>
      </c>
      <c r="J107" s="73">
        <f t="shared" si="9"/>
        <v>3.0763312964147392E-6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284.34390451591042</v>
      </c>
      <c r="G108" s="73">
        <f t="shared" si="7"/>
        <v>3.2780763973745286E-6</v>
      </c>
      <c r="H108" s="73">
        <f t="shared" si="8"/>
        <v>424.68020263764652</v>
      </c>
      <c r="I108" s="73">
        <f t="shared" si="5"/>
        <v>374.68020263764652</v>
      </c>
      <c r="J108" s="73">
        <f t="shared" si="9"/>
        <v>1.3456831395695727E-6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292.50907271467889</v>
      </c>
      <c r="G109" s="73">
        <f t="shared" si="7"/>
        <v>1.4437686112927259E-6</v>
      </c>
      <c r="H109" s="73">
        <f t="shared" si="8"/>
        <v>445.04365399367128</v>
      </c>
      <c r="I109" s="73">
        <f t="shared" si="5"/>
        <v>395.04365399367128</v>
      </c>
      <c r="J109" s="73">
        <f t="shared" si="9"/>
        <v>5.6556267392425244E-7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300.67424091344742</v>
      </c>
      <c r="G110" s="73">
        <f t="shared" si="7"/>
        <v>6.1094813193963043E-7</v>
      </c>
      <c r="H110" s="73">
        <f t="shared" si="8"/>
        <v>466.38353455113679</v>
      </c>
      <c r="I110" s="73">
        <f t="shared" si="5"/>
        <v>416.38353455113679</v>
      </c>
      <c r="J110" s="73">
        <f t="shared" si="9"/>
        <v>2.2837412053401101E-7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308.83940911221589</v>
      </c>
      <c r="G111" s="73">
        <f t="shared" si="7"/>
        <v>2.4839297412184924E-7</v>
      </c>
      <c r="H111" s="73">
        <f t="shared" si="8"/>
        <v>488.7466641721951</v>
      </c>
      <c r="I111" s="73">
        <f t="shared" si="5"/>
        <v>438.7466641721951</v>
      </c>
      <c r="J111" s="73">
        <f t="shared" si="9"/>
        <v>8.8601537328641428E-8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317.0045773109843</v>
      </c>
      <c r="G112" s="73">
        <f t="shared" si="7"/>
        <v>9.7029209799483673E-8</v>
      </c>
      <c r="H112" s="73">
        <f t="shared" si="8"/>
        <v>512.18210773531723</v>
      </c>
      <c r="I112" s="73">
        <f t="shared" si="5"/>
        <v>462.18210773531723</v>
      </c>
      <c r="J112" s="73">
        <f t="shared" si="9"/>
        <v>3.3026598563387864E-8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325.16974550975237</v>
      </c>
      <c r="G113" s="73">
        <f t="shared" si="7"/>
        <v>3.6416139350528996E-8</v>
      </c>
      <c r="H113" s="73">
        <f t="shared" si="8"/>
        <v>536.74128278401406</v>
      </c>
      <c r="I113" s="73">
        <f t="shared" si="5"/>
        <v>486.74128278401406</v>
      </c>
      <c r="J113" s="73">
        <f t="shared" si="9"/>
        <v>1.1828091040150268E-8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0.17481805784967333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-13.493217426302238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3.4287484848811523E-3</v>
      </c>
      <c r="H120" s="69" t="s">
        <v>50</v>
      </c>
      <c r="I120" s="79">
        <f>IF($B$9&gt;3,INDEX(XX!$C$4:$C$150,$B$9))</f>
        <v>0.22420000000000001</v>
      </c>
      <c r="J120" s="79">
        <f>IF($B$9&gt;3,INDEX(XX!$D$4:$D$150,$B$9))</f>
        <v>0.29189999999999999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59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42699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3" sqref="M3:N60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54" t="s">
        <v>128</v>
      </c>
      <c r="B1" s="155"/>
      <c r="C1" s="155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6"/>
      <c r="B2" s="155"/>
      <c r="C2" s="155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35908</v>
      </c>
      <c r="N3" s="57">
        <v>6</v>
      </c>
      <c r="O3" s="58">
        <f t="shared" ref="O3:O66" si="0">IF($N3&gt;0,LN($N3+$B$26))</f>
        <v>1.9740810260220096</v>
      </c>
      <c r="T3" s="69" t="s">
        <v>109</v>
      </c>
      <c r="U3" s="82">
        <f>$B$21</f>
        <v>5.0020934346280495</v>
      </c>
      <c r="V3" s="82">
        <f t="shared" ref="V3:V10" si="1">U3</f>
        <v>5.0020934346280495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36108</v>
      </c>
      <c r="N4" s="57">
        <v>6</v>
      </c>
      <c r="O4" s="58">
        <f t="shared" si="0"/>
        <v>1.9740810260220096</v>
      </c>
      <c r="T4" s="69" t="s">
        <v>111</v>
      </c>
      <c r="U4" s="82">
        <f>$B$31</f>
        <v>4.3969854911213657</v>
      </c>
      <c r="V4" s="82">
        <f t="shared" si="1"/>
        <v>4.3969854911213657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36651</v>
      </c>
      <c r="N5" s="57">
        <v>6.6</v>
      </c>
      <c r="O5" s="58">
        <f t="shared" si="0"/>
        <v>2.0541237336955462</v>
      </c>
      <c r="T5" s="69" t="s">
        <v>110</v>
      </c>
      <c r="U5" s="82">
        <f>$B$22</f>
        <v>5.5497501418531812</v>
      </c>
      <c r="V5" s="82">
        <f t="shared" si="1"/>
        <v>5.5497501418531812</v>
      </c>
    </row>
    <row r="6" spans="1:24" ht="15" customHeight="1" x14ac:dyDescent="0.2">
      <c r="A6" s="107" t="s">
        <v>18</v>
      </c>
      <c r="B6" s="95" t="s">
        <v>93</v>
      </c>
      <c r="C6" s="18"/>
      <c r="M6" s="56">
        <v>36838</v>
      </c>
      <c r="N6" s="57">
        <v>4.9000000000000004</v>
      </c>
      <c r="O6" s="58">
        <f t="shared" si="0"/>
        <v>1.8082887711792657</v>
      </c>
      <c r="T6" s="69" t="s">
        <v>29</v>
      </c>
      <c r="U6" s="82">
        <f>$B$32</f>
        <v>5.3213195951777825</v>
      </c>
      <c r="V6" s="82">
        <f t="shared" si="1"/>
        <v>5.3213195951777825</v>
      </c>
    </row>
    <row r="7" spans="1:24" ht="15" customHeight="1" x14ac:dyDescent="0.2">
      <c r="D7" s="4"/>
      <c r="F7" s="5"/>
      <c r="M7" s="56">
        <v>37006</v>
      </c>
      <c r="N7" s="57">
        <v>2</v>
      </c>
      <c r="O7" s="58">
        <f t="shared" si="0"/>
        <v>1.1631508098056809</v>
      </c>
      <c r="T7" s="69" t="s">
        <v>31</v>
      </c>
      <c r="U7" s="82">
        <f>$C$21</f>
        <v>-0.85726584842115194</v>
      </c>
      <c r="V7" s="82">
        <f t="shared" si="1"/>
        <v>-0.85726584842115194</v>
      </c>
    </row>
    <row r="8" spans="1:24" ht="15" customHeight="1" x14ac:dyDescent="0.25">
      <c r="A8" s="140" t="s">
        <v>12</v>
      </c>
      <c r="B8" s="140"/>
      <c r="C8" s="140"/>
      <c r="D8" s="4"/>
      <c r="M8" s="56">
        <v>37172</v>
      </c>
      <c r="N8" s="57">
        <v>1</v>
      </c>
      <c r="O8" s="58">
        <f t="shared" si="0"/>
        <v>0.78845736036427028</v>
      </c>
      <c r="T8" s="69" t="s">
        <v>32</v>
      </c>
      <c r="U8" s="82">
        <f>$C$31</f>
        <v>0.37471609229452896</v>
      </c>
      <c r="V8" s="82">
        <f t="shared" si="1"/>
        <v>0.37471609229452896</v>
      </c>
    </row>
    <row r="9" spans="1:24" ht="15" customHeight="1" x14ac:dyDescent="0.2">
      <c r="A9" s="101" t="s">
        <v>11</v>
      </c>
      <c r="B9" s="59">
        <f>COUNT($M$3:$M252)</f>
        <v>58</v>
      </c>
      <c r="C9" s="60"/>
      <c r="D9" s="4"/>
      <c r="M9" s="56">
        <v>37354</v>
      </c>
      <c r="N9" s="57">
        <v>1</v>
      </c>
      <c r="O9" s="58">
        <f t="shared" si="0"/>
        <v>0.78845736036427028</v>
      </c>
      <c r="T9" s="69" t="s">
        <v>112</v>
      </c>
      <c r="U9" s="82">
        <f>$C$22</f>
        <v>-1.4049225556462837</v>
      </c>
      <c r="V9" s="82">
        <f t="shared" si="1"/>
        <v>-1.4049225556462837</v>
      </c>
    </row>
    <row r="10" spans="1:24" ht="15" customHeight="1" x14ac:dyDescent="0.2">
      <c r="A10" s="102" t="s">
        <v>7</v>
      </c>
      <c r="B10" s="61">
        <f>MIN($N$3:$N$252)</f>
        <v>1</v>
      </c>
      <c r="C10" s="60"/>
      <c r="D10" s="4"/>
      <c r="M10" s="56">
        <v>37573</v>
      </c>
      <c r="N10" s="57">
        <v>4</v>
      </c>
      <c r="O10" s="58">
        <f t="shared" si="0"/>
        <v>1.6486586255873816</v>
      </c>
      <c r="T10" s="69" t="s">
        <v>113</v>
      </c>
      <c r="U10" s="82">
        <f>$C$32</f>
        <v>0.23775862004544501</v>
      </c>
      <c r="V10" s="82">
        <f t="shared" si="1"/>
        <v>0.23775862004544501</v>
      </c>
    </row>
    <row r="11" spans="1:24" ht="15" customHeight="1" x14ac:dyDescent="0.2">
      <c r="A11" s="102" t="s">
        <v>8</v>
      </c>
      <c r="B11" s="61">
        <f>MAX($N$3:$N$252)</f>
        <v>6.6</v>
      </c>
      <c r="C11" s="60"/>
      <c r="D11" s="4"/>
      <c r="M11" s="56">
        <v>37750</v>
      </c>
      <c r="N11" s="57">
        <v>1</v>
      </c>
      <c r="O11" s="58">
        <f t="shared" si="0"/>
        <v>0.78845736036427028</v>
      </c>
      <c r="T11" s="69" t="s">
        <v>68</v>
      </c>
      <c r="U11" s="82">
        <f>$B$12</f>
        <v>1.5</v>
      </c>
      <c r="V11" s="82">
        <f>U11</f>
        <v>1.5</v>
      </c>
    </row>
    <row r="12" spans="1:24" ht="15" customHeight="1" x14ac:dyDescent="0.2">
      <c r="A12" s="102" t="s">
        <v>68</v>
      </c>
      <c r="B12" s="62">
        <f>MEDIAN($N$3:$N$252)</f>
        <v>1.5</v>
      </c>
      <c r="C12" s="50"/>
      <c r="D12" s="4"/>
      <c r="M12" s="56">
        <v>37930</v>
      </c>
      <c r="N12" s="57">
        <v>1</v>
      </c>
      <c r="O12" s="58">
        <f t="shared" si="0"/>
        <v>0.78845736036427028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38183</v>
      </c>
      <c r="N13" s="57">
        <v>1</v>
      </c>
      <c r="O13" s="58">
        <f t="shared" si="0"/>
        <v>0.78845736036427028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38281</v>
      </c>
      <c r="N14" s="57">
        <v>1</v>
      </c>
      <c r="O14" s="58">
        <f t="shared" si="0"/>
        <v>0.78845736036427028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38344</v>
      </c>
      <c r="N15" s="57">
        <v>1</v>
      </c>
      <c r="O15" s="58">
        <f t="shared" si="0"/>
        <v>0.78845736036427028</v>
      </c>
      <c r="T15" s="69">
        <v>1</v>
      </c>
      <c r="U15" s="77">
        <f t="shared" ref="U15:U39" si="3">$B$36+T15*$B$38</f>
        <v>0.2772</v>
      </c>
      <c r="V15" s="84">
        <f>FREQUENCY($N$3:$N$252,$U$15:$U$39)</f>
        <v>0</v>
      </c>
      <c r="W15" s="79">
        <f t="shared" ref="W15:W39" si="4">(U15+U14)/2</f>
        <v>0.1386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2.0724137931034488</v>
      </c>
      <c r="C16" s="60"/>
      <c r="M16" s="56">
        <v>38391</v>
      </c>
      <c r="N16" s="57">
        <v>1</v>
      </c>
      <c r="O16" s="58">
        <f t="shared" si="0"/>
        <v>0.78845736036427028</v>
      </c>
      <c r="T16" s="69">
        <v>2</v>
      </c>
      <c r="U16" s="77">
        <f t="shared" si="3"/>
        <v>0.5544</v>
      </c>
      <c r="V16" s="84">
        <f t="array" ref="V16:V40">FREQUENCY($N$3:$N$252,$U$15:$U$39)</f>
        <v>0</v>
      </c>
      <c r="W16" s="79">
        <f t="shared" si="4"/>
        <v>0.4158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1.4947619775840477</v>
      </c>
      <c r="C17" s="60"/>
      <c r="D17" s="4"/>
      <c r="M17" s="56">
        <v>38460</v>
      </c>
      <c r="N17" s="57">
        <v>1</v>
      </c>
      <c r="O17" s="58">
        <f t="shared" si="0"/>
        <v>0.78845736036427028</v>
      </c>
      <c r="T17" s="69">
        <v>3</v>
      </c>
      <c r="U17" s="77">
        <f t="shared" si="3"/>
        <v>0.83160000000000001</v>
      </c>
      <c r="V17" s="84">
        <v>0</v>
      </c>
      <c r="W17" s="79">
        <f t="shared" si="4"/>
        <v>0.69300000000000006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0.40134185233238051</v>
      </c>
      <c r="C18" s="114" t="s">
        <v>45</v>
      </c>
      <c r="D18" s="4"/>
      <c r="J18" s="6"/>
      <c r="M18" s="56">
        <v>38553</v>
      </c>
      <c r="N18" s="57">
        <v>1</v>
      </c>
      <c r="O18" s="58">
        <f t="shared" si="0"/>
        <v>0.78845736036427028</v>
      </c>
      <c r="T18" s="69">
        <v>4</v>
      </c>
      <c r="U18" s="77">
        <f t="shared" si="3"/>
        <v>1.1088</v>
      </c>
      <c r="V18" s="84">
        <v>0</v>
      </c>
      <c r="W18" s="79">
        <f t="shared" si="4"/>
        <v>0.97019999999999995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38701</v>
      </c>
      <c r="N19" s="57">
        <v>1</v>
      </c>
      <c r="O19" s="58">
        <f t="shared" si="0"/>
        <v>0.78845736036427028</v>
      </c>
      <c r="T19" s="69">
        <v>5</v>
      </c>
      <c r="U19" s="77">
        <f t="shared" si="3"/>
        <v>1.3860000000000001</v>
      </c>
      <c r="V19" s="84">
        <v>21</v>
      </c>
      <c r="W19" s="79">
        <f t="shared" si="4"/>
        <v>1.2474000000000001</v>
      </c>
      <c r="X19" s="80">
        <f t="shared" si="2"/>
        <v>1.3061650992685474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39079</v>
      </c>
      <c r="N20" s="57">
        <v>1</v>
      </c>
      <c r="O20" s="58">
        <f t="shared" si="0"/>
        <v>0.78845736036427028</v>
      </c>
      <c r="T20" s="69">
        <v>6</v>
      </c>
      <c r="U20" s="77">
        <f t="shared" si="3"/>
        <v>1.6632</v>
      </c>
      <c r="V20" s="84">
        <v>5</v>
      </c>
      <c r="W20" s="79">
        <f t="shared" si="4"/>
        <v>1.5246</v>
      </c>
      <c r="X20" s="80">
        <f t="shared" si="2"/>
        <v>0.31099169030203511</v>
      </c>
    </row>
    <row r="21" spans="1:24" ht="15" customHeight="1" x14ac:dyDescent="0.2">
      <c r="A21" s="103" t="s">
        <v>76</v>
      </c>
      <c r="B21" s="62">
        <f>NORMINV(0.975,$B$16,$B$17)</f>
        <v>5.0020934346280495</v>
      </c>
      <c r="C21" s="62">
        <f>NORMINV(0.025,$B$16,$B$17)</f>
        <v>-0.85726584842115194</v>
      </c>
      <c r="D21" s="4"/>
      <c r="M21" s="56">
        <v>39127</v>
      </c>
      <c r="N21" s="57">
        <v>1</v>
      </c>
      <c r="O21" s="58">
        <f t="shared" si="0"/>
        <v>0.78845736036427028</v>
      </c>
      <c r="T21" s="69">
        <v>7</v>
      </c>
      <c r="U21" s="77">
        <f t="shared" si="3"/>
        <v>1.9403999999999999</v>
      </c>
      <c r="V21" s="84">
        <v>8</v>
      </c>
      <c r="W21" s="79">
        <f t="shared" si="4"/>
        <v>1.8018000000000001</v>
      </c>
      <c r="X21" s="80">
        <f t="shared" si="2"/>
        <v>0.4975867044832562</v>
      </c>
    </row>
    <row r="22" spans="1:24" ht="15" customHeight="1" x14ac:dyDescent="0.2">
      <c r="A22" s="104" t="s">
        <v>77</v>
      </c>
      <c r="B22" s="62">
        <f>NORMINV(0.99,$B$16,$B$17)</f>
        <v>5.5497501418531812</v>
      </c>
      <c r="C22" s="62">
        <f>NORMINV(0.01,B16,B17)</f>
        <v>-1.4049225556462837</v>
      </c>
      <c r="M22" s="56">
        <v>39226</v>
      </c>
      <c r="N22" s="57">
        <v>1.5</v>
      </c>
      <c r="O22" s="58">
        <f t="shared" si="0"/>
        <v>0.99325177301028345</v>
      </c>
      <c r="T22" s="69">
        <v>8</v>
      </c>
      <c r="U22" s="77">
        <f t="shared" si="3"/>
        <v>2.2176</v>
      </c>
      <c r="V22" s="84">
        <v>5</v>
      </c>
      <c r="W22" s="79">
        <f t="shared" si="4"/>
        <v>2.0789999999999997</v>
      </c>
      <c r="X22" s="80">
        <f t="shared" si="2"/>
        <v>0.31099169030203511</v>
      </c>
    </row>
    <row r="23" spans="1:24" ht="15" customHeight="1" x14ac:dyDescent="0.25">
      <c r="E23" s="144" t="s">
        <v>80</v>
      </c>
      <c r="F23" s="144"/>
      <c r="G23" s="144"/>
      <c r="M23" s="56">
        <v>39308</v>
      </c>
      <c r="N23" s="57">
        <v>1</v>
      </c>
      <c r="O23" s="58">
        <f t="shared" si="0"/>
        <v>0.78845736036427028</v>
      </c>
      <c r="T23" s="69">
        <v>9</v>
      </c>
      <c r="U23" s="77">
        <f t="shared" si="3"/>
        <v>2.4948000000000001</v>
      </c>
      <c r="V23" s="84">
        <v>2</v>
      </c>
      <c r="W23" s="79">
        <f t="shared" si="4"/>
        <v>2.3562000000000003</v>
      </c>
      <c r="X23" s="80">
        <f t="shared" si="2"/>
        <v>0.12439667612081405</v>
      </c>
    </row>
    <row r="24" spans="1:24" ht="15" customHeight="1" x14ac:dyDescent="0.2">
      <c r="M24" s="56">
        <v>39408</v>
      </c>
      <c r="N24" s="57">
        <v>1</v>
      </c>
      <c r="O24" s="58">
        <f t="shared" si="0"/>
        <v>0.78845736036427028</v>
      </c>
      <c r="T24" s="69">
        <v>10</v>
      </c>
      <c r="U24" s="77">
        <f t="shared" si="3"/>
        <v>2.7720000000000002</v>
      </c>
      <c r="V24" s="84">
        <v>2</v>
      </c>
      <c r="W24" s="79">
        <f t="shared" si="4"/>
        <v>2.6334</v>
      </c>
      <c r="X24" s="80">
        <f t="shared" si="2"/>
        <v>0.12439667612081405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39505</v>
      </c>
      <c r="N25" s="57">
        <v>1.2</v>
      </c>
      <c r="O25" s="58">
        <f t="shared" si="0"/>
        <v>0.87546873735389985</v>
      </c>
      <c r="Q25" s="75" t="s">
        <v>68</v>
      </c>
      <c r="R25" s="75">
        <f>MEDIAN($O$3:$O$252)</f>
        <v>0.99325177301028345</v>
      </c>
      <c r="T25" s="69">
        <v>11</v>
      </c>
      <c r="U25" s="77">
        <f t="shared" si="3"/>
        <v>3.0491999999999999</v>
      </c>
      <c r="V25" s="84">
        <v>4</v>
      </c>
      <c r="W25" s="79">
        <f t="shared" si="4"/>
        <v>2.9106000000000001</v>
      </c>
      <c r="X25" s="80">
        <f t="shared" si="2"/>
        <v>0.2487933522416281</v>
      </c>
    </row>
    <row r="26" spans="1:24" ht="15" customHeight="1" x14ac:dyDescent="0.2">
      <c r="A26" s="86" t="s">
        <v>36</v>
      </c>
      <c r="B26" s="134">
        <v>1.2</v>
      </c>
      <c r="C26" s="62"/>
      <c r="E26" s="7" t="e">
        <f>AVERAGE(C50:C199)</f>
        <v>#DIV/0!</v>
      </c>
      <c r="M26" s="56">
        <v>39596</v>
      </c>
      <c r="N26" s="57">
        <v>1.5</v>
      </c>
      <c r="O26" s="58">
        <f t="shared" si="0"/>
        <v>0.99325177301028345</v>
      </c>
      <c r="Q26" s="75" t="s">
        <v>73</v>
      </c>
      <c r="R26" s="75">
        <f>AVERAGE($O$3:$O$252)</f>
        <v>1.107367610863202</v>
      </c>
      <c r="T26" s="69">
        <v>12</v>
      </c>
      <c r="U26" s="77">
        <f t="shared" si="3"/>
        <v>3.3264</v>
      </c>
      <c r="V26" s="84">
        <v>2</v>
      </c>
      <c r="W26" s="79">
        <f t="shared" si="4"/>
        <v>3.1878000000000002</v>
      </c>
      <c r="X26" s="80">
        <f t="shared" si="2"/>
        <v>0.12439667612081405</v>
      </c>
    </row>
    <row r="27" spans="1:24" ht="15" customHeight="1" x14ac:dyDescent="0.2">
      <c r="A27" s="65" t="s">
        <v>17</v>
      </c>
      <c r="B27" s="62">
        <f>EXP($R$26)</f>
        <v>3.0263812863937165</v>
      </c>
      <c r="C27" s="62"/>
      <c r="E27" s="7" t="e">
        <f>STDEV(C50:C199)</f>
        <v>#DIV/0!</v>
      </c>
      <c r="F27" s="7" t="e">
        <f>NORMINV(0.025,$E26,$E27)</f>
        <v>#DIV/0!</v>
      </c>
      <c r="M27" s="56">
        <v>39674</v>
      </c>
      <c r="N27" s="57">
        <v>1.7</v>
      </c>
      <c r="O27" s="58">
        <f t="shared" si="0"/>
        <v>1.0647107369924282</v>
      </c>
      <c r="Q27" s="75" t="s">
        <v>104</v>
      </c>
      <c r="R27" s="75">
        <f>STDEV($O$3:$O$252)</f>
        <v>0.37380866401002</v>
      </c>
      <c r="T27" s="69">
        <v>13</v>
      </c>
      <c r="U27" s="77">
        <f t="shared" si="3"/>
        <v>3.6036000000000001</v>
      </c>
      <c r="V27" s="84">
        <v>0</v>
      </c>
      <c r="W27" s="79">
        <f t="shared" si="4"/>
        <v>3.4649999999999999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0.31994325797708584</v>
      </c>
      <c r="C28" s="115" t="s">
        <v>45</v>
      </c>
      <c r="F28" s="7" t="e">
        <f>NORMINV(0.01,$E$26,$E$27)</f>
        <v>#DIV/0!</v>
      </c>
      <c r="M28" s="56">
        <v>39758</v>
      </c>
      <c r="N28" s="57">
        <v>1.5</v>
      </c>
      <c r="O28" s="58">
        <f t="shared" si="0"/>
        <v>0.99325177301028345</v>
      </c>
      <c r="Q28" s="75" t="s">
        <v>108</v>
      </c>
      <c r="R28" s="75">
        <f>NORMINV(0.025,$R$26,$R$27)</f>
        <v>0.37471609229452896</v>
      </c>
      <c r="T28" s="69">
        <v>14</v>
      </c>
      <c r="U28" s="77">
        <f t="shared" si="3"/>
        <v>3.8807999999999998</v>
      </c>
      <c r="V28" s="84">
        <v>0</v>
      </c>
      <c r="W28" s="79">
        <f t="shared" si="4"/>
        <v>3.7422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mäßig</v>
      </c>
      <c r="C29" s="62"/>
      <c r="M29" s="56">
        <v>39856</v>
      </c>
      <c r="N29" s="57">
        <v>1.5</v>
      </c>
      <c r="O29" s="58">
        <f t="shared" si="0"/>
        <v>0.99325177301028345</v>
      </c>
      <c r="Q29" s="75" t="s">
        <v>107</v>
      </c>
      <c r="R29" s="75">
        <f>NORMINV(0.01,$R$26,$R$27)</f>
        <v>0.23775862004544501</v>
      </c>
      <c r="T29" s="69">
        <v>15</v>
      </c>
      <c r="U29" s="77">
        <f t="shared" si="3"/>
        <v>4.1580000000000004</v>
      </c>
      <c r="V29" s="84">
        <v>1</v>
      </c>
      <c r="W29" s="79">
        <f t="shared" si="4"/>
        <v>4.0194000000000001</v>
      </c>
      <c r="X29" s="80">
        <f t="shared" si="2"/>
        <v>6.2198338060407025E-2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39960</v>
      </c>
      <c r="N30" s="57">
        <v>1.8</v>
      </c>
      <c r="O30" s="58">
        <f t="shared" si="0"/>
        <v>1.0986122886681098</v>
      </c>
      <c r="Q30" s="75" t="s">
        <v>105</v>
      </c>
      <c r="R30" s="75">
        <f>NORMINV(0.95,$R$26,$R$27)</f>
        <v>1.7222281476459673</v>
      </c>
      <c r="T30" s="69">
        <v>16</v>
      </c>
      <c r="U30" s="77">
        <f t="shared" si="3"/>
        <v>4.4352</v>
      </c>
      <c r="V30" s="84">
        <v>1</v>
      </c>
      <c r="W30" s="79">
        <f t="shared" si="4"/>
        <v>4.2965999999999998</v>
      </c>
      <c r="X30" s="80">
        <f t="shared" si="2"/>
        <v>6.2198338060407025E-2</v>
      </c>
    </row>
    <row r="31" spans="1:24" ht="15" customHeight="1" x14ac:dyDescent="0.2">
      <c r="A31" s="65" t="s">
        <v>98</v>
      </c>
      <c r="B31" s="62">
        <f>EXP($R30)-$B$26</f>
        <v>4.3969854911213657</v>
      </c>
      <c r="C31" s="62">
        <f>NORMINV(0.025,$R$26,$R$27)</f>
        <v>0.37471609229452896</v>
      </c>
      <c r="E31" s="7" t="e">
        <f>NORMINV(0.98,$E$26,$E$27)</f>
        <v>#DIV/0!</v>
      </c>
      <c r="M31" s="56">
        <v>40052</v>
      </c>
      <c r="N31" s="57">
        <v>1.9</v>
      </c>
      <c r="O31" s="58">
        <f t="shared" si="0"/>
        <v>1.1314021114911004</v>
      </c>
      <c r="Q31" s="75" t="s">
        <v>106</v>
      </c>
      <c r="R31" s="75">
        <f>NORMINV(0.98,$R$26,$R$27)</f>
        <v>1.8750767473585173</v>
      </c>
      <c r="T31" s="69">
        <v>17</v>
      </c>
      <c r="U31" s="77">
        <f t="shared" si="3"/>
        <v>4.7123999999999997</v>
      </c>
      <c r="V31" s="84">
        <v>0</v>
      </c>
      <c r="W31" s="79">
        <f t="shared" si="4"/>
        <v>4.5738000000000003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5.3213195951777825</v>
      </c>
      <c r="C32" s="62">
        <f>NORMINV(0.01,$R$26,$R$27)</f>
        <v>0.23775862004544501</v>
      </c>
      <c r="M32" s="56">
        <v>40122</v>
      </c>
      <c r="N32" s="57">
        <v>1.3</v>
      </c>
      <c r="O32" s="58">
        <f t="shared" si="0"/>
        <v>0.91629073187415511</v>
      </c>
      <c r="T32" s="69">
        <v>18</v>
      </c>
      <c r="U32" s="77">
        <f t="shared" si="3"/>
        <v>4.9896000000000003</v>
      </c>
      <c r="V32" s="84">
        <v>1</v>
      </c>
      <c r="W32" s="79">
        <f t="shared" si="4"/>
        <v>4.851</v>
      </c>
      <c r="X32" s="80">
        <f t="shared" si="2"/>
        <v>6.2198338060407025E-2</v>
      </c>
    </row>
    <row r="33" spans="1:24" ht="15" customHeight="1" x14ac:dyDescent="0.2">
      <c r="M33" s="56">
        <v>40234</v>
      </c>
      <c r="N33" s="57">
        <v>2.1</v>
      </c>
      <c r="O33" s="58">
        <f t="shared" si="0"/>
        <v>1.1939224684724346</v>
      </c>
      <c r="T33" s="69">
        <v>19</v>
      </c>
      <c r="U33" s="77">
        <f t="shared" si="3"/>
        <v>5.2667999999999999</v>
      </c>
      <c r="V33" s="84">
        <v>2</v>
      </c>
      <c r="W33" s="79">
        <f t="shared" si="4"/>
        <v>5.1281999999999996</v>
      </c>
      <c r="X33" s="80">
        <f t="shared" si="2"/>
        <v>0.12439667612081405</v>
      </c>
    </row>
    <row r="34" spans="1:24" ht="15" customHeight="1" x14ac:dyDescent="0.2">
      <c r="M34" s="56">
        <v>40326</v>
      </c>
      <c r="N34" s="57">
        <v>1.1000000000000001</v>
      </c>
      <c r="O34" s="58">
        <f t="shared" si="0"/>
        <v>0.83290912293510388</v>
      </c>
      <c r="T34" s="69">
        <v>20</v>
      </c>
      <c r="U34" s="77">
        <f t="shared" si="3"/>
        <v>5.5440000000000005</v>
      </c>
      <c r="V34" s="84">
        <v>0</v>
      </c>
      <c r="W34" s="79">
        <f t="shared" si="4"/>
        <v>5.4054000000000002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40403</v>
      </c>
      <c r="N35" s="57">
        <v>1.2</v>
      </c>
      <c r="O35" s="58">
        <f t="shared" si="0"/>
        <v>0.87546873735389985</v>
      </c>
      <c r="T35" s="69">
        <v>21</v>
      </c>
      <c r="U35" s="77">
        <f t="shared" si="3"/>
        <v>5.8212000000000002</v>
      </c>
      <c r="V35" s="84">
        <v>0</v>
      </c>
      <c r="W35" s="79">
        <f t="shared" si="4"/>
        <v>5.6826000000000008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40507</v>
      </c>
      <c r="N36" s="57">
        <v>1</v>
      </c>
      <c r="O36" s="58">
        <f t="shared" si="0"/>
        <v>0.78845736036427028</v>
      </c>
      <c r="T36" s="69">
        <v>22</v>
      </c>
      <c r="U36" s="77">
        <f t="shared" si="3"/>
        <v>6.0983999999999998</v>
      </c>
      <c r="V36" s="84">
        <v>0</v>
      </c>
      <c r="W36" s="79">
        <f t="shared" si="4"/>
        <v>5.9597999999999995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6.93</v>
      </c>
      <c r="D37" s="8"/>
      <c r="E37" s="8"/>
      <c r="M37" s="56">
        <v>40577</v>
      </c>
      <c r="N37" s="57">
        <v>1</v>
      </c>
      <c r="O37" s="58">
        <f t="shared" si="0"/>
        <v>0.78845736036427028</v>
      </c>
      <c r="T37" s="69">
        <v>23</v>
      </c>
      <c r="U37" s="77">
        <f t="shared" si="3"/>
        <v>6.3756000000000004</v>
      </c>
      <c r="V37" s="84">
        <v>3</v>
      </c>
      <c r="W37" s="79">
        <f t="shared" si="4"/>
        <v>6.2370000000000001</v>
      </c>
      <c r="X37" s="80">
        <f t="shared" si="2"/>
        <v>0.1865950141812211</v>
      </c>
    </row>
    <row r="38" spans="1:24" ht="15" x14ac:dyDescent="0.2">
      <c r="A38" s="104" t="s">
        <v>19</v>
      </c>
      <c r="B38" s="53">
        <f>($B$37-$B$36)/25</f>
        <v>0.2772</v>
      </c>
      <c r="M38" s="56">
        <v>40682</v>
      </c>
      <c r="N38" s="57">
        <v>1.5</v>
      </c>
      <c r="O38" s="58">
        <f t="shared" si="0"/>
        <v>0.99325177301028345</v>
      </c>
      <c r="T38" s="69">
        <v>24</v>
      </c>
      <c r="U38" s="77">
        <f t="shared" si="3"/>
        <v>6.6528</v>
      </c>
      <c r="V38" s="84">
        <v>0</v>
      </c>
      <c r="W38" s="79">
        <f t="shared" si="4"/>
        <v>6.5142000000000007</v>
      </c>
      <c r="X38" s="80">
        <f t="shared" si="2"/>
        <v>0</v>
      </c>
    </row>
    <row r="39" spans="1:24" ht="15" x14ac:dyDescent="0.2">
      <c r="M39" s="56">
        <v>40759</v>
      </c>
      <c r="N39" s="57">
        <v>1</v>
      </c>
      <c r="O39" s="58">
        <f t="shared" si="0"/>
        <v>0.78845736036427028</v>
      </c>
      <c r="T39" s="69">
        <v>25</v>
      </c>
      <c r="U39" s="77">
        <f t="shared" si="3"/>
        <v>6.93</v>
      </c>
      <c r="V39" s="84">
        <v>1</v>
      </c>
      <c r="W39" s="79">
        <f t="shared" si="4"/>
        <v>6.7913999999999994</v>
      </c>
      <c r="X39" s="80">
        <f t="shared" si="2"/>
        <v>6.2198338060407025E-2</v>
      </c>
    </row>
    <row r="40" spans="1:24" ht="15" x14ac:dyDescent="0.2">
      <c r="M40" s="56">
        <v>40856</v>
      </c>
      <c r="N40" s="57">
        <v>1.2</v>
      </c>
      <c r="O40" s="58">
        <f t="shared" si="0"/>
        <v>0.87546873735389985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40961</v>
      </c>
      <c r="N41" s="57">
        <v>1.4</v>
      </c>
      <c r="O41" s="58">
        <f t="shared" si="0"/>
        <v>0.95551144502743623</v>
      </c>
    </row>
    <row r="42" spans="1:24" ht="15" x14ac:dyDescent="0.2">
      <c r="M42" s="56">
        <v>41044</v>
      </c>
      <c r="N42" s="57">
        <v>2.8</v>
      </c>
      <c r="O42" s="58">
        <f t="shared" si="0"/>
        <v>1.3862943611198906</v>
      </c>
    </row>
    <row r="43" spans="1:24" ht="15" x14ac:dyDescent="0.2">
      <c r="M43" s="56">
        <v>41123</v>
      </c>
      <c r="N43" s="57">
        <v>2.4</v>
      </c>
      <c r="O43" s="58">
        <f t="shared" si="0"/>
        <v>1.2809338454620642</v>
      </c>
    </row>
    <row r="44" spans="1:24" ht="15" x14ac:dyDescent="0.2">
      <c r="M44" s="56">
        <v>41235</v>
      </c>
      <c r="N44" s="57">
        <v>1.6</v>
      </c>
      <c r="O44" s="58">
        <f t="shared" si="0"/>
        <v>1.0296194171811581</v>
      </c>
      <c r="T44" s="83" t="s">
        <v>13</v>
      </c>
    </row>
    <row r="45" spans="1:24" ht="15" x14ac:dyDescent="0.2">
      <c r="M45" s="56">
        <v>41326</v>
      </c>
      <c r="N45" s="57">
        <v>2.4</v>
      </c>
      <c r="O45" s="58">
        <f t="shared" si="0"/>
        <v>1.2809338454620642</v>
      </c>
      <c r="T45" s="69" t="s">
        <v>26</v>
      </c>
      <c r="U45" s="69" t="s">
        <v>27</v>
      </c>
    </row>
    <row r="46" spans="1:24" ht="15" x14ac:dyDescent="0.2">
      <c r="B46" s="6"/>
      <c r="M46" s="56">
        <v>41428</v>
      </c>
      <c r="N46" s="57">
        <v>1.2</v>
      </c>
      <c r="O46" s="58">
        <f t="shared" si="0"/>
        <v>0.87546873735389985</v>
      </c>
      <c r="T46" s="85">
        <f>$U$14-$B$38/100</f>
        <v>-2.7720000000000002E-3</v>
      </c>
      <c r="U46" s="28">
        <v>0</v>
      </c>
    </row>
    <row r="47" spans="1:24" ht="15" x14ac:dyDescent="0.2">
      <c r="C47" s="9"/>
      <c r="D47" s="9"/>
      <c r="E47" s="9"/>
      <c r="M47" s="56">
        <v>41494</v>
      </c>
      <c r="N47" s="57">
        <v>1.8</v>
      </c>
      <c r="O47" s="58">
        <f t="shared" si="0"/>
        <v>1.0986122886681098</v>
      </c>
      <c r="T47" s="85">
        <f>$U$14+$B$38/100</f>
        <v>2.7720000000000002E-3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41600</v>
      </c>
      <c r="N48" s="57">
        <v>3.8</v>
      </c>
      <c r="O48" s="58">
        <f t="shared" si="0"/>
        <v>1.6094379124341003</v>
      </c>
      <c r="T48" s="85">
        <f>$U$15-$B$38/100</f>
        <v>0.27442800000000001</v>
      </c>
      <c r="U48" s="28">
        <f>$X$15</f>
        <v>0</v>
      </c>
    </row>
    <row r="49" spans="5:21" ht="15" x14ac:dyDescent="0.2">
      <c r="E49" s="13"/>
      <c r="M49" s="56">
        <v>41684</v>
      </c>
      <c r="N49" s="57">
        <v>4.5</v>
      </c>
      <c r="O49" s="58">
        <f t="shared" si="0"/>
        <v>1.7404661748405046</v>
      </c>
      <c r="T49" s="85">
        <f>$U$15+$B$38/100</f>
        <v>0.279972</v>
      </c>
      <c r="U49" s="28">
        <f>$X$16</f>
        <v>0</v>
      </c>
    </row>
    <row r="50" spans="5:21" ht="15" x14ac:dyDescent="0.2">
      <c r="E50" s="15"/>
      <c r="M50" s="56">
        <v>41782</v>
      </c>
      <c r="N50" s="57">
        <v>2.7</v>
      </c>
      <c r="O50" s="58">
        <f t="shared" si="0"/>
        <v>1.3609765531356008</v>
      </c>
      <c r="T50" s="85">
        <f>$U$16-$B$38/100</f>
        <v>0.55162800000000001</v>
      </c>
      <c r="U50" s="28">
        <f>$X$16</f>
        <v>0</v>
      </c>
    </row>
    <row r="51" spans="5:21" ht="15" x14ac:dyDescent="0.2">
      <c r="E51" s="15"/>
      <c r="M51" s="56">
        <v>41880</v>
      </c>
      <c r="N51" s="57">
        <v>4.8</v>
      </c>
      <c r="O51" s="58">
        <f t="shared" si="0"/>
        <v>1.791759469228055</v>
      </c>
      <c r="T51" s="85">
        <f>$U$16+$B$38/100</f>
        <v>0.557172</v>
      </c>
      <c r="U51" s="28">
        <f>$X$17</f>
        <v>0</v>
      </c>
    </row>
    <row r="52" spans="5:21" ht="15" x14ac:dyDescent="0.2">
      <c r="E52" s="15"/>
      <c r="M52" s="56">
        <v>41963</v>
      </c>
      <c r="N52" s="57">
        <v>2.6</v>
      </c>
      <c r="O52" s="58">
        <f t="shared" si="0"/>
        <v>1.33500106673234</v>
      </c>
      <c r="T52" s="85">
        <f>$U$17-$B$38/100</f>
        <v>0.82882800000000001</v>
      </c>
      <c r="U52" s="28">
        <f>$X$17</f>
        <v>0</v>
      </c>
    </row>
    <row r="53" spans="5:21" ht="15" x14ac:dyDescent="0.2">
      <c r="E53" s="15"/>
      <c r="F53" s="15"/>
      <c r="G53" s="15"/>
      <c r="M53" s="56">
        <v>42045</v>
      </c>
      <c r="N53" s="57">
        <v>1.9</v>
      </c>
      <c r="O53" s="58">
        <f t="shared" si="0"/>
        <v>1.1314021114911004</v>
      </c>
      <c r="T53" s="85">
        <f>$U$17+$B$38/100</f>
        <v>0.834372</v>
      </c>
      <c r="U53" s="28">
        <f>$X$18</f>
        <v>0</v>
      </c>
    </row>
    <row r="54" spans="5:21" ht="15" x14ac:dyDescent="0.2">
      <c r="E54" s="15"/>
      <c r="F54" s="15"/>
      <c r="G54" s="15"/>
      <c r="M54" s="56">
        <v>42145</v>
      </c>
      <c r="N54" s="57">
        <v>5.9</v>
      </c>
      <c r="O54" s="58">
        <f t="shared" si="0"/>
        <v>1.9600947840472698</v>
      </c>
      <c r="T54" s="85">
        <f>$U$18-$B$38/100</f>
        <v>1.106028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42236</v>
      </c>
      <c r="N55" s="57">
        <v>3</v>
      </c>
      <c r="O55" s="58">
        <f t="shared" si="0"/>
        <v>1.4350845252893227</v>
      </c>
      <c r="T55" s="85">
        <f>$U$18+$B$38/100</f>
        <v>1.111572</v>
      </c>
      <c r="U55" s="28">
        <f>$X$19</f>
        <v>1.3061650992685474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42327</v>
      </c>
      <c r="N56" s="57">
        <v>2.7</v>
      </c>
      <c r="O56" s="58">
        <f t="shared" si="0"/>
        <v>1.3609765531356008</v>
      </c>
      <c r="T56" s="85">
        <f>$U$19-$B$38/100</f>
        <v>1.3832280000000001</v>
      </c>
      <c r="U56" s="28">
        <f>$X$19</f>
        <v>1.3061650992685474</v>
      </c>
    </row>
    <row r="57" spans="5:21" ht="15" x14ac:dyDescent="0.2">
      <c r="E57" s="70">
        <v>1</v>
      </c>
      <c r="F57" s="74">
        <f>$B$21</f>
        <v>5.0020934346280495</v>
      </c>
      <c r="G57" s="74">
        <f>$C$21</f>
        <v>-0.85726584842115194</v>
      </c>
      <c r="H57" s="74">
        <f>$B$22</f>
        <v>5.5497501418531812</v>
      </c>
      <c r="I57" s="74">
        <f>$C$22</f>
        <v>-1.4049225556462837</v>
      </c>
      <c r="J57" s="74">
        <f>$B$31</f>
        <v>4.3969854911213657</v>
      </c>
      <c r="K57" s="74">
        <f>$B$32</f>
        <v>5.3213195951777825</v>
      </c>
      <c r="M57" s="56">
        <v>42417</v>
      </c>
      <c r="N57" s="57">
        <v>2.6</v>
      </c>
      <c r="O57" s="58">
        <f t="shared" si="0"/>
        <v>1.33500106673234</v>
      </c>
      <c r="T57" s="85">
        <f>$U$19+$B$38/100</f>
        <v>1.3887720000000001</v>
      </c>
      <c r="U57" s="28">
        <f>$X$20</f>
        <v>0.31099169030203511</v>
      </c>
    </row>
    <row r="58" spans="5:21" ht="15" x14ac:dyDescent="0.2">
      <c r="E58" s="70">
        <v>73415</v>
      </c>
      <c r="F58" s="74">
        <f>$B$21</f>
        <v>5.0020934346280495</v>
      </c>
      <c r="G58" s="74">
        <f>$C$21</f>
        <v>-0.85726584842115194</v>
      </c>
      <c r="H58" s="74">
        <f>$B$22</f>
        <v>5.5497501418531812</v>
      </c>
      <c r="I58" s="74">
        <f>$C$22</f>
        <v>-1.4049225556462837</v>
      </c>
      <c r="J58" s="74">
        <f>$B$31</f>
        <v>4.3969854911213657</v>
      </c>
      <c r="K58" s="74">
        <f>$B$32</f>
        <v>5.3213195951777825</v>
      </c>
      <c r="M58" s="56">
        <v>42502</v>
      </c>
      <c r="N58" s="57">
        <v>1.5</v>
      </c>
      <c r="O58" s="58">
        <f t="shared" si="0"/>
        <v>0.99325177301028345</v>
      </c>
      <c r="T58" s="85">
        <f>$U$20-$B$38/100</f>
        <v>1.660428</v>
      </c>
      <c r="U58" s="28">
        <f>$X$20</f>
        <v>0.31099169030203511</v>
      </c>
    </row>
    <row r="59" spans="5:21" ht="15" x14ac:dyDescent="0.2">
      <c r="M59" s="56">
        <v>42607</v>
      </c>
      <c r="N59" s="57">
        <v>1.1000000000000001</v>
      </c>
      <c r="O59" s="58">
        <f t="shared" si="0"/>
        <v>0.83290912293510388</v>
      </c>
      <c r="T59" s="85">
        <f>$U$20+$B$38/100</f>
        <v>1.665972</v>
      </c>
      <c r="U59" s="28">
        <f>$X$21</f>
        <v>0.4975867044832562</v>
      </c>
    </row>
    <row r="60" spans="5:21" ht="15" x14ac:dyDescent="0.2">
      <c r="M60" s="56">
        <v>42699</v>
      </c>
      <c r="N60" s="57">
        <v>1</v>
      </c>
      <c r="O60" s="58">
        <f t="shared" si="0"/>
        <v>0.78845736036427028</v>
      </c>
      <c r="T60" s="85">
        <f>$U$21-$B$38/100</f>
        <v>1.9376279999999999</v>
      </c>
      <c r="U60" s="28">
        <f>$X$21</f>
        <v>0.4975867044832562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1.9431719999999999</v>
      </c>
      <c r="U61" s="28">
        <f>$X$22</f>
        <v>0.31099169030203511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2.2148279999999998</v>
      </c>
      <c r="U62" s="28">
        <f>$X$22</f>
        <v>0.31099169030203511</v>
      </c>
    </row>
    <row r="63" spans="5:21" ht="15" x14ac:dyDescent="0.2">
      <c r="E63" s="72">
        <v>-5</v>
      </c>
      <c r="F63" s="73">
        <f>$B$16+$E63*$B$17</f>
        <v>-5.4013960948167901</v>
      </c>
      <c r="G63" s="73">
        <f>NORMDIST($F63,$B$16,$B$17,FALSE)</f>
        <v>9.9461956955665345E-7</v>
      </c>
      <c r="H63" s="73">
        <f>EXP($R$26+$E63*$R$27)</f>
        <v>0.46688341031912206</v>
      </c>
      <c r="I63" s="73">
        <f t="shared" ref="I63:I113" si="5">H63-$B$26</f>
        <v>-0.73311658968087789</v>
      </c>
      <c r="J63" s="73">
        <f>1/$H63/SQRT(2*PI())/$R$27*EXP(-POWER(LN($H63)-$R$26,2)/2/POWER($R$27,2))</f>
        <v>8.5186590501885298E-6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2.2203720000000002</v>
      </c>
      <c r="U63" s="28">
        <f>$X$23</f>
        <v>0.12439667612081405</v>
      </c>
    </row>
    <row r="64" spans="5:21" ht="15" x14ac:dyDescent="0.2">
      <c r="E64" s="72">
        <v>-4.8</v>
      </c>
      <c r="F64" s="73">
        <f t="shared" ref="F64:F113" si="6">$B$16+$E64*$B$17</f>
        <v>-5.1024436992999798</v>
      </c>
      <c r="G64" s="73">
        <f t="shared" ref="G64:G113" si="7">NORMDIST($F64,$B$16,$B$17,FALSE)</f>
        <v>2.650120320450377E-6</v>
      </c>
      <c r="H64" s="73">
        <f t="shared" ref="H64:H113" si="8">EXP($R$26+$E64*$R$27)</f>
        <v>0.5031263355090565</v>
      </c>
      <c r="I64" s="73">
        <f t="shared" si="5"/>
        <v>-0.69687366449094346</v>
      </c>
      <c r="J64" s="73">
        <f t="shared" ref="J64:J113" si="9">1/$H64/SQRT(2*PI())/$R$27*EXP(-POWER(LN($H64)-$R$26,2)/2/POWER($R$27,2))</f>
        <v>2.1062563167885521E-5</v>
      </c>
      <c r="K64" s="73">
        <f t="shared" ref="K64:K113" si="10">LOGNORMDIST($H64,$R$26,$R$27)</f>
        <v>7.9332815197559777E-7</v>
      </c>
      <c r="M64" s="56"/>
      <c r="N64" s="57"/>
      <c r="O64" s="58" t="b">
        <f t="shared" si="0"/>
        <v>0</v>
      </c>
      <c r="T64" s="85">
        <f>$U$23-$B$38/100</f>
        <v>2.4920279999999999</v>
      </c>
      <c r="U64" s="28">
        <f>$X$23</f>
        <v>0.12439667612081405</v>
      </c>
    </row>
    <row r="65" spans="5:21" ht="15" x14ac:dyDescent="0.2">
      <c r="E65" s="72">
        <v>-4.5999999999999996</v>
      </c>
      <c r="F65" s="73">
        <f t="shared" si="6"/>
        <v>-4.8034913037831704</v>
      </c>
      <c r="G65" s="73">
        <f t="shared" si="7"/>
        <v>6.7842587766897872E-6</v>
      </c>
      <c r="H65" s="73">
        <f t="shared" si="8"/>
        <v>0.54218270319296458</v>
      </c>
      <c r="I65" s="73">
        <f t="shared" si="5"/>
        <v>-0.65781729680703538</v>
      </c>
      <c r="J65" s="73">
        <f t="shared" si="9"/>
        <v>5.0035636140648517E-5</v>
      </c>
      <c r="K65" s="73">
        <f t="shared" si="10"/>
        <v>2.1124547025028579E-6</v>
      </c>
      <c r="M65" s="56"/>
      <c r="N65" s="57"/>
      <c r="O65" s="58" t="b">
        <f t="shared" si="0"/>
        <v>0</v>
      </c>
      <c r="T65" s="85">
        <f>$U$23+$B$38/100</f>
        <v>2.4975720000000003</v>
      </c>
      <c r="U65" s="28">
        <f>$X$24</f>
        <v>0.12439667612081405</v>
      </c>
    </row>
    <row r="66" spans="5:21" ht="15" x14ac:dyDescent="0.2">
      <c r="E66" s="72">
        <v>-4.4000000000000004</v>
      </c>
      <c r="F66" s="73">
        <f t="shared" si="6"/>
        <v>-4.5045389082663618</v>
      </c>
      <c r="G66" s="73">
        <f t="shared" si="7"/>
        <v>1.6686583994039992E-5</v>
      </c>
      <c r="H66" s="73">
        <f t="shared" si="8"/>
        <v>0.5842709134758437</v>
      </c>
      <c r="I66" s="73">
        <f t="shared" si="5"/>
        <v>-0.61572908652415625</v>
      </c>
      <c r="J66" s="73">
        <f t="shared" si="9"/>
        <v>1.142025631736383E-4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2.769228</v>
      </c>
      <c r="U66" s="28">
        <f>$X$24</f>
        <v>0.12439667612081405</v>
      </c>
    </row>
    <row r="67" spans="5:21" ht="15" x14ac:dyDescent="0.2">
      <c r="E67" s="72">
        <v>-4.2</v>
      </c>
      <c r="F67" s="73">
        <f t="shared" si="6"/>
        <v>-4.2055865127495515</v>
      </c>
      <c r="G67" s="73">
        <f t="shared" si="7"/>
        <v>3.9433079406935603E-5</v>
      </c>
      <c r="H67" s="73">
        <f t="shared" si="8"/>
        <v>0.62962632028562027</v>
      </c>
      <c r="I67" s="73">
        <f t="shared" si="5"/>
        <v>-0.57037367971437969</v>
      </c>
      <c r="J67" s="73">
        <f t="shared" si="9"/>
        <v>2.5043815624088722E-4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2.7747720000000005</v>
      </c>
      <c r="U67" s="28">
        <f>$X$25</f>
        <v>0.2487933522416281</v>
      </c>
    </row>
    <row r="68" spans="5:21" ht="15" x14ac:dyDescent="0.2">
      <c r="E68" s="72">
        <v>-4</v>
      </c>
      <c r="F68" s="73">
        <f t="shared" si="6"/>
        <v>-3.9066341172327421</v>
      </c>
      <c r="G68" s="73">
        <f t="shared" si="7"/>
        <v>8.9532800386849784E-5</v>
      </c>
      <c r="H68" s="73">
        <f t="shared" si="8"/>
        <v>0.67850254745361471</v>
      </c>
      <c r="I68" s="73">
        <f t="shared" si="5"/>
        <v>-0.52149745254638524</v>
      </c>
      <c r="J68" s="73">
        <f t="shared" si="9"/>
        <v>5.2765901806497029E-4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3.0464279999999997</v>
      </c>
      <c r="U68" s="28">
        <f>$X$25</f>
        <v>0.2487933522416281</v>
      </c>
    </row>
    <row r="69" spans="5:21" ht="15" x14ac:dyDescent="0.2">
      <c r="E69" s="72">
        <v>-3.8</v>
      </c>
      <c r="F69" s="73">
        <f t="shared" si="6"/>
        <v>-3.6076817217159327</v>
      </c>
      <c r="G69" s="73">
        <f t="shared" si="7"/>
        <v>1.9531332089629927E-4</v>
      </c>
      <c r="H69" s="73">
        <f t="shared" si="8"/>
        <v>0.73117290695885606</v>
      </c>
      <c r="I69" s="73">
        <f t="shared" si="5"/>
        <v>-0.46882709304114389</v>
      </c>
      <c r="J69" s="73">
        <f t="shared" si="9"/>
        <v>1.0681554305637807E-3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3.0519720000000001</v>
      </c>
      <c r="U69" s="28">
        <f>$X$26</f>
        <v>0.12439667612081405</v>
      </c>
    </row>
    <row r="70" spans="5:21" ht="15" x14ac:dyDescent="0.2">
      <c r="E70" s="72">
        <v>-3.6</v>
      </c>
      <c r="F70" s="73">
        <f t="shared" si="6"/>
        <v>-3.3087293261991233</v>
      </c>
      <c r="G70" s="73">
        <f t="shared" si="7"/>
        <v>4.0936412572038804E-4</v>
      </c>
      <c r="H70" s="73">
        <f t="shared" si="8"/>
        <v>0.78793192726695294</v>
      </c>
      <c r="I70" s="73">
        <f t="shared" si="5"/>
        <v>-0.41206807273304702</v>
      </c>
      <c r="J70" s="73">
        <f t="shared" si="9"/>
        <v>2.0775130542931438E-3</v>
      </c>
      <c r="K70" s="73">
        <f t="shared" si="10"/>
        <v>1.5910859015753318E-4</v>
      </c>
      <c r="M70" s="56"/>
      <c r="N70" s="57"/>
      <c r="O70" s="58" t="b">
        <f t="shared" si="11"/>
        <v>0</v>
      </c>
      <c r="T70" s="85">
        <f>$U$26-$B$38/100</f>
        <v>3.3236279999999998</v>
      </c>
      <c r="U70" s="28">
        <f>$X$26</f>
        <v>0.12439667612081405</v>
      </c>
    </row>
    <row r="71" spans="5:21" ht="15" x14ac:dyDescent="0.2">
      <c r="E71" s="72">
        <v>-3.4</v>
      </c>
      <c r="F71" s="73">
        <f t="shared" si="6"/>
        <v>-3.009776930682313</v>
      </c>
      <c r="G71" s="73">
        <f t="shared" si="7"/>
        <v>8.2435811651071749E-4</v>
      </c>
      <c r="H71" s="73">
        <f t="shared" si="8"/>
        <v>0.84909700030987367</v>
      </c>
      <c r="I71" s="73">
        <f t="shared" si="5"/>
        <v>-0.35090299969012628</v>
      </c>
      <c r="J71" s="73">
        <f t="shared" si="9"/>
        <v>3.8822302631318214E-3</v>
      </c>
      <c r="K71" s="73">
        <f t="shared" si="10"/>
        <v>3.3692926567688151E-4</v>
      </c>
      <c r="M71" s="56"/>
      <c r="N71" s="57"/>
      <c r="O71" s="58" t="b">
        <f t="shared" si="11"/>
        <v>0</v>
      </c>
      <c r="T71" s="85">
        <f>$U$26+$B$38/100</f>
        <v>3.3291720000000002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-2.7108245351655045</v>
      </c>
      <c r="G72" s="73">
        <f t="shared" si="7"/>
        <v>1.594961764627029E-3</v>
      </c>
      <c r="H72" s="73">
        <f t="shared" si="8"/>
        <v>0.91501015631641081</v>
      </c>
      <c r="I72" s="73">
        <f t="shared" si="5"/>
        <v>-0.28498984368358915</v>
      </c>
      <c r="J72" s="73">
        <f t="shared" si="9"/>
        <v>6.9702289055721357E-3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3.6008279999999999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-2.4118721396486942</v>
      </c>
      <c r="G73" s="73">
        <f t="shared" si="7"/>
        <v>2.9649191499379122E-3</v>
      </c>
      <c r="H73" s="73">
        <f t="shared" si="8"/>
        <v>0.98603997641804741</v>
      </c>
      <c r="I73" s="73">
        <f t="shared" si="5"/>
        <v>-0.21396002358195254</v>
      </c>
      <c r="J73" s="73">
        <f t="shared" si="9"/>
        <v>1.2023779728662063E-2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3.6063720000000004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-2.1129197441318848</v>
      </c>
      <c r="G74" s="73">
        <f t="shared" si="7"/>
        <v>5.2954595458559539E-3</v>
      </c>
      <c r="H74" s="73">
        <f t="shared" si="8"/>
        <v>1.0625836537253588</v>
      </c>
      <c r="I74" s="73">
        <f t="shared" si="5"/>
        <v>-0.13741634627464117</v>
      </c>
      <c r="J74" s="73">
        <f t="shared" si="9"/>
        <v>1.9927976529109839E-2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3.8780279999999996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-1.8139673486150754</v>
      </c>
      <c r="G75" s="73">
        <f t="shared" si="7"/>
        <v>9.087044919111123E-3</v>
      </c>
      <c r="H75" s="73">
        <f t="shared" si="8"/>
        <v>1.1450692144003296</v>
      </c>
      <c r="I75" s="73">
        <f t="shared" si="5"/>
        <v>-5.4930785599670351E-2</v>
      </c>
      <c r="J75" s="73">
        <f t="shared" si="9"/>
        <v>3.1733181465688529E-2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3.883572</v>
      </c>
      <c r="U75" s="28">
        <f>$X$29</f>
        <v>6.2198338060407025E-2</v>
      </c>
    </row>
    <row r="76" spans="5:21" ht="15" x14ac:dyDescent="0.2">
      <c r="E76" s="72">
        <v>-2.4</v>
      </c>
      <c r="F76" s="73">
        <f t="shared" si="6"/>
        <v>-1.5150149530982655</v>
      </c>
      <c r="G76" s="73">
        <f t="shared" si="7"/>
        <v>1.4982004245946038E-2</v>
      </c>
      <c r="H76" s="73">
        <f t="shared" si="8"/>
        <v>1.2339579111446446</v>
      </c>
      <c r="I76" s="73">
        <f t="shared" si="5"/>
        <v>3.3957911144644637E-2</v>
      </c>
      <c r="J76" s="73">
        <f t="shared" si="9"/>
        <v>4.8550336930076335E-2</v>
      </c>
      <c r="K76" s="73">
        <f t="shared" si="10"/>
        <v>8.1975359245961138E-3</v>
      </c>
      <c r="M76" s="56"/>
      <c r="N76" s="57"/>
      <c r="O76" s="58" t="b">
        <f t="shared" si="11"/>
        <v>0</v>
      </c>
      <c r="T76" s="85">
        <f>$U$29-$B$38/100</f>
        <v>4.1552280000000001</v>
      </c>
      <c r="U76" s="28">
        <f>$X$29</f>
        <v>6.2198338060407025E-2</v>
      </c>
    </row>
    <row r="77" spans="5:21" ht="15" x14ac:dyDescent="0.2">
      <c r="E77" s="72">
        <v>-2.2000000000000002</v>
      </c>
      <c r="F77" s="73">
        <f t="shared" si="6"/>
        <v>-1.2160625575814565</v>
      </c>
      <c r="G77" s="73">
        <f t="shared" si="7"/>
        <v>2.3732603169079977E-2</v>
      </c>
      <c r="H77" s="73">
        <f t="shared" si="8"/>
        <v>1.3297468024881487</v>
      </c>
      <c r="I77" s="73">
        <f t="shared" si="5"/>
        <v>0.12974680248814874</v>
      </c>
      <c r="J77" s="73">
        <f t="shared" si="9"/>
        <v>7.1367272917735786E-2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4.1607720000000006</v>
      </c>
      <c r="U77" s="28">
        <f>$X$30</f>
        <v>6.2198338060407025E-2</v>
      </c>
    </row>
    <row r="78" spans="5:21" ht="15" x14ac:dyDescent="0.2">
      <c r="E78" s="72">
        <v>-2</v>
      </c>
      <c r="F78" s="73">
        <f t="shared" si="6"/>
        <v>-0.91711016206464668</v>
      </c>
      <c r="G78" s="73">
        <f t="shared" si="7"/>
        <v>3.6120109638092694E-2</v>
      </c>
      <c r="H78" s="73">
        <f t="shared" si="8"/>
        <v>1.432971532300654</v>
      </c>
      <c r="I78" s="73">
        <f t="shared" si="5"/>
        <v>0.23297153230065404</v>
      </c>
      <c r="J78" s="73">
        <f t="shared" si="9"/>
        <v>0.10079388296921336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4.4324279999999998</v>
      </c>
      <c r="U78" s="28">
        <f>$X$30</f>
        <v>6.2198338060407025E-2</v>
      </c>
    </row>
    <row r="79" spans="5:21" ht="15" x14ac:dyDescent="0.2">
      <c r="E79" s="72">
        <v>-1.8</v>
      </c>
      <c r="F79" s="73">
        <f t="shared" si="6"/>
        <v>-0.61815776654783727</v>
      </c>
      <c r="G79" s="73">
        <f t="shared" si="7"/>
        <v>5.2817879692457548E-2</v>
      </c>
      <c r="H79" s="73">
        <f t="shared" si="8"/>
        <v>1.5442093250699016</v>
      </c>
      <c r="I79" s="73">
        <f t="shared" si="5"/>
        <v>0.34420932506990165</v>
      </c>
      <c r="J79" s="73">
        <f t="shared" si="9"/>
        <v>0.136772086205809</v>
      </c>
      <c r="K79" s="73">
        <f t="shared" si="10"/>
        <v>3.5930319112925754E-2</v>
      </c>
      <c r="L79" s="16"/>
      <c r="M79" s="56"/>
      <c r="N79" s="57"/>
      <c r="O79" s="58" t="b">
        <f t="shared" si="11"/>
        <v>0</v>
      </c>
      <c r="T79" s="85">
        <f>$U$30+$B$38/100</f>
        <v>4.4379720000000002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-0.31920537103102786</v>
      </c>
      <c r="G80" s="73">
        <f t="shared" si="7"/>
        <v>7.4206352812595994E-2</v>
      </c>
      <c r="H80" s="73">
        <f t="shared" si="8"/>
        <v>1.6640822136950371</v>
      </c>
      <c r="I80" s="73">
        <f t="shared" si="5"/>
        <v>0.4640822136950371</v>
      </c>
      <c r="J80" s="73">
        <f t="shared" si="9"/>
        <v>0.17831545544521482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4.7096279999999995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-2.0252975514218008E-2</v>
      </c>
      <c r="G81" s="73">
        <f t="shared" si="7"/>
        <v>0.10016809892217503</v>
      </c>
      <c r="H81" s="73">
        <f t="shared" si="8"/>
        <v>1.7932605178451586</v>
      </c>
      <c r="I81" s="73">
        <f t="shared" si="5"/>
        <v>0.59326051784515865</v>
      </c>
      <c r="J81" s="73">
        <f t="shared" si="9"/>
        <v>0.2233617089309084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4.7151719999999999</v>
      </c>
      <c r="U81" s="28">
        <f>$X$32</f>
        <v>6.2198338060407025E-2</v>
      </c>
    </row>
    <row r="82" spans="5:21" ht="15" x14ac:dyDescent="0.2">
      <c r="E82" s="72">
        <v>-1.2</v>
      </c>
      <c r="F82" s="73">
        <f t="shared" si="6"/>
        <v>0.27869942000259162</v>
      </c>
      <c r="G82" s="73">
        <f t="shared" si="7"/>
        <v>0.12991102121628206</v>
      </c>
      <c r="H82" s="73">
        <f t="shared" si="8"/>
        <v>1.9324665923336508</v>
      </c>
      <c r="I82" s="73">
        <f t="shared" si="5"/>
        <v>0.73246659233365086</v>
      </c>
      <c r="J82" s="73">
        <f t="shared" si="9"/>
        <v>0.26881696964030105</v>
      </c>
      <c r="K82" s="73">
        <f t="shared" si="10"/>
        <v>0.11506967022170821</v>
      </c>
      <c r="L82" s="14"/>
      <c r="M82" s="56"/>
      <c r="N82" s="57"/>
      <c r="O82" s="58" t="b">
        <f t="shared" si="11"/>
        <v>0</v>
      </c>
      <c r="T82" s="85">
        <f>$U$32-$B$38/100</f>
        <v>4.986828</v>
      </c>
      <c r="U82" s="28">
        <f>$X$32</f>
        <v>6.2198338060407025E-2</v>
      </c>
    </row>
    <row r="83" spans="5:21" ht="15" x14ac:dyDescent="0.2">
      <c r="E83" s="72">
        <v>-1</v>
      </c>
      <c r="F83" s="73">
        <f t="shared" si="6"/>
        <v>0.57765181551940104</v>
      </c>
      <c r="G83" s="73">
        <f t="shared" si="7"/>
        <v>0.16187910058445262</v>
      </c>
      <c r="H83" s="73">
        <f t="shared" si="8"/>
        <v>2.0824788664689082</v>
      </c>
      <c r="I83" s="73">
        <f t="shared" si="5"/>
        <v>0.88247886646890827</v>
      </c>
      <c r="J83" s="73">
        <f t="shared" si="9"/>
        <v>0.31083710752776333</v>
      </c>
      <c r="K83" s="73">
        <f t="shared" si="10"/>
        <v>0.15865525393145707</v>
      </c>
      <c r="L83" s="14"/>
      <c r="M83" s="56"/>
      <c r="N83" s="57"/>
      <c r="O83" s="58" t="b">
        <f t="shared" si="11"/>
        <v>0</v>
      </c>
      <c r="T83" s="85">
        <f>$U$32+$B$38/100</f>
        <v>4.9923720000000005</v>
      </c>
      <c r="U83" s="28">
        <f>$X$33</f>
        <v>0.12439667612081405</v>
      </c>
    </row>
    <row r="84" spans="5:21" ht="15" x14ac:dyDescent="0.2">
      <c r="E84" s="72">
        <v>-0.8</v>
      </c>
      <c r="F84" s="73">
        <f t="shared" si="6"/>
        <v>0.87660421103621045</v>
      </c>
      <c r="G84" s="73">
        <f t="shared" si="7"/>
        <v>0.19380446994624861</v>
      </c>
      <c r="H84" s="73">
        <f t="shared" si="8"/>
        <v>2.2441361969691789</v>
      </c>
      <c r="I84" s="73">
        <f t="shared" si="5"/>
        <v>1.0441361969691789</v>
      </c>
      <c r="J84" s="73">
        <f t="shared" si="9"/>
        <v>0.34533234499188531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5.2640279999999997</v>
      </c>
      <c r="U84" s="28">
        <f>$X$33</f>
        <v>0.12439667612081405</v>
      </c>
    </row>
    <row r="85" spans="5:21" ht="15" x14ac:dyDescent="0.2">
      <c r="E85" s="72">
        <v>-0.6</v>
      </c>
      <c r="F85" s="73">
        <f t="shared" si="6"/>
        <v>1.1755566065530201</v>
      </c>
      <c r="G85" s="73">
        <f t="shared" si="7"/>
        <v>0.22292820388058276</v>
      </c>
      <c r="H85" s="73">
        <f t="shared" si="8"/>
        <v>2.4183425587826872</v>
      </c>
      <c r="I85" s="73">
        <f t="shared" si="5"/>
        <v>1.2183425587826873</v>
      </c>
      <c r="J85" s="73">
        <f t="shared" si="9"/>
        <v>0.36861234613824451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5.2695720000000001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1.4745090020698295</v>
      </c>
      <c r="G86" s="73">
        <f t="shared" si="7"/>
        <v>0.24637376774765879</v>
      </c>
      <c r="H86" s="73">
        <f t="shared" si="8"/>
        <v>2.6060721000437201</v>
      </c>
      <c r="I86" s="73">
        <f t="shared" si="5"/>
        <v>1.4060721000437202</v>
      </c>
      <c r="J86" s="73">
        <f t="shared" si="9"/>
        <v>0.3780338744496623</v>
      </c>
      <c r="K86" s="73">
        <f t="shared" si="10"/>
        <v>0.34457825838967571</v>
      </c>
      <c r="M86" s="56"/>
      <c r="N86" s="57"/>
      <c r="O86" s="58" t="b">
        <f t="shared" si="11"/>
        <v>0</v>
      </c>
      <c r="T86" s="85">
        <f>$U$34-$B$38/100</f>
        <v>5.5412280000000003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1.7734613975866391</v>
      </c>
      <c r="G87" s="73">
        <f t="shared" si="7"/>
        <v>0.26160867070454247</v>
      </c>
      <c r="H87" s="73">
        <f t="shared" si="8"/>
        <v>2.8083745894315966</v>
      </c>
      <c r="I87" s="73">
        <f t="shared" si="5"/>
        <v>1.6083745894315966</v>
      </c>
      <c r="J87" s="73">
        <f t="shared" si="9"/>
        <v>0.37249442592525311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5.5467720000000007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2.0724137931034488</v>
      </c>
      <c r="G88" s="73">
        <f t="shared" si="7"/>
        <v>0.26689351641539261</v>
      </c>
      <c r="H88" s="73">
        <f t="shared" si="8"/>
        <v>3.0263812863937165</v>
      </c>
      <c r="I88" s="73">
        <f t="shared" si="5"/>
        <v>1.8263812863937166</v>
      </c>
      <c r="J88" s="73">
        <f t="shared" si="9"/>
        <v>0.3526444554307559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5.8184279999999999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2.3713661886202582</v>
      </c>
      <c r="G89" s="73">
        <f t="shared" si="7"/>
        <v>0.26160867070454252</v>
      </c>
      <c r="H89" s="73">
        <f t="shared" si="8"/>
        <v>3.2613112670585114</v>
      </c>
      <c r="I89" s="73">
        <f t="shared" si="5"/>
        <v>2.0613112670585112</v>
      </c>
      <c r="J89" s="73">
        <f t="shared" si="9"/>
        <v>0.32076174115600686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5.8239720000000004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2.670318584137068</v>
      </c>
      <c r="G90" s="73">
        <f t="shared" si="7"/>
        <v>0.24637376774765879</v>
      </c>
      <c r="H90" s="73">
        <f t="shared" si="8"/>
        <v>3.514478241212295</v>
      </c>
      <c r="I90" s="73">
        <f t="shared" si="5"/>
        <v>2.3144782412122948</v>
      </c>
      <c r="J90" s="73">
        <f t="shared" si="9"/>
        <v>0.28032142055170706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6.0956279999999996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2.9692709796538774</v>
      </c>
      <c r="G91" s="73">
        <f t="shared" si="7"/>
        <v>0.22292820388058276</v>
      </c>
      <c r="H91" s="73">
        <f t="shared" si="8"/>
        <v>3.7872978984600141</v>
      </c>
      <c r="I91" s="73">
        <f t="shared" si="5"/>
        <v>2.5872978984600143</v>
      </c>
      <c r="J91" s="73">
        <f t="shared" si="9"/>
        <v>0.23537385974346633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6.101172</v>
      </c>
      <c r="U91" s="28">
        <f>$X$37</f>
        <v>0.1865950141812211</v>
      </c>
    </row>
    <row r="92" spans="5:21" ht="15" x14ac:dyDescent="0.2">
      <c r="E92" s="72">
        <v>0.80000000000001004</v>
      </c>
      <c r="F92" s="73">
        <f t="shared" si="6"/>
        <v>3.2682233751707019</v>
      </c>
      <c r="G92" s="73">
        <f t="shared" si="7"/>
        <v>0.19380446994624709</v>
      </c>
      <c r="H92" s="73">
        <f t="shared" si="8"/>
        <v>4.0812958246490556</v>
      </c>
      <c r="I92" s="73">
        <f t="shared" si="5"/>
        <v>2.8812958246490554</v>
      </c>
      <c r="J92" s="73">
        <f t="shared" si="9"/>
        <v>0.18988400955894208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6.3728280000000002</v>
      </c>
      <c r="U92" s="28">
        <f>$X$37</f>
        <v>0.1865950141812211</v>
      </c>
    </row>
    <row r="93" spans="5:21" ht="15" x14ac:dyDescent="0.2">
      <c r="E93" s="72">
        <v>1.00000000000001</v>
      </c>
      <c r="F93" s="73">
        <f t="shared" si="6"/>
        <v>3.5671757706875113</v>
      </c>
      <c r="G93" s="73">
        <f t="shared" si="7"/>
        <v>0.16187910058445099</v>
      </c>
      <c r="H93" s="73">
        <f t="shared" si="8"/>
        <v>4.3981160328240314</v>
      </c>
      <c r="I93" s="73">
        <f t="shared" si="5"/>
        <v>3.1981160328240312</v>
      </c>
      <c r="J93" s="73">
        <f t="shared" si="9"/>
        <v>0.14717931553189265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6.3783720000000006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3.8661281662043212</v>
      </c>
      <c r="G94" s="73">
        <f t="shared" si="7"/>
        <v>0.12991102121628048</v>
      </c>
      <c r="H94" s="73">
        <f t="shared" si="8"/>
        <v>4.7395301564171985</v>
      </c>
      <c r="I94" s="73">
        <f t="shared" si="5"/>
        <v>3.5395301564171984</v>
      </c>
      <c r="J94" s="73">
        <f t="shared" si="9"/>
        <v>0.10960576178186844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6.6500279999999998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4.1650805617211297</v>
      </c>
      <c r="G95" s="73">
        <f t="shared" si="7"/>
        <v>0.10016809892217371</v>
      </c>
      <c r="H95" s="73">
        <f t="shared" si="8"/>
        <v>5.1074473560817912</v>
      </c>
      <c r="I95" s="73">
        <f t="shared" si="5"/>
        <v>3.9074473560817911</v>
      </c>
      <c r="J95" s="73">
        <f t="shared" si="9"/>
        <v>7.8423859493579953E-2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6.6555720000000003</v>
      </c>
      <c r="U95" s="28">
        <f>$X$39</f>
        <v>6.2198338060407025E-2</v>
      </c>
    </row>
    <row r="96" spans="5:21" ht="15" x14ac:dyDescent="0.2">
      <c r="E96" s="72">
        <v>1.6000000000000101</v>
      </c>
      <c r="F96" s="73">
        <f t="shared" si="6"/>
        <v>4.46403295723794</v>
      </c>
      <c r="G96" s="73">
        <f t="shared" si="7"/>
        <v>7.42063528125948E-2</v>
      </c>
      <c r="H96" s="73">
        <f t="shared" si="8"/>
        <v>5.5039249955667229</v>
      </c>
      <c r="I96" s="73">
        <f t="shared" si="5"/>
        <v>4.3039249955667227</v>
      </c>
      <c r="J96" s="73">
        <f t="shared" si="9"/>
        <v>5.3912721934313644E-2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6.9272279999999995</v>
      </c>
      <c r="U96" s="28">
        <f>$X$39</f>
        <v>6.2198338060407025E-2</v>
      </c>
    </row>
    <row r="97" spans="5:21" ht="15" x14ac:dyDescent="0.2">
      <c r="E97" s="72">
        <v>1.80000000000001</v>
      </c>
      <c r="F97" s="73">
        <f t="shared" si="6"/>
        <v>4.7629853527547494</v>
      </c>
      <c r="G97" s="73">
        <f t="shared" si="7"/>
        <v>5.2817879692456618E-2</v>
      </c>
      <c r="H97" s="73">
        <f t="shared" si="8"/>
        <v>5.9311801463312106</v>
      </c>
      <c r="I97" s="73">
        <f t="shared" si="5"/>
        <v>4.7311801463312104</v>
      </c>
      <c r="J97" s="73">
        <f t="shared" si="9"/>
        <v>3.5609225435331578E-2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6.9327719999999999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5.0619377482715588</v>
      </c>
      <c r="G98" s="73">
        <f t="shared" si="7"/>
        <v>3.6120109638091979E-2</v>
      </c>
      <c r="H98" s="73">
        <f t="shared" si="8"/>
        <v>6.3916019852322234</v>
      </c>
      <c r="I98" s="73">
        <f t="shared" si="5"/>
        <v>5.1916019852322233</v>
      </c>
      <c r="J98" s="73">
        <f t="shared" si="9"/>
        <v>2.2597584339362743E-2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5.3608901437883691</v>
      </c>
      <c r="G99" s="73">
        <f t="shared" si="7"/>
        <v>2.3732603169079439E-2</v>
      </c>
      <c r="H99" s="73">
        <f t="shared" si="8"/>
        <v>6.8877651546116425</v>
      </c>
      <c r="I99" s="73">
        <f t="shared" si="5"/>
        <v>5.6877651546116423</v>
      </c>
      <c r="J99" s="73">
        <f t="shared" si="9"/>
        <v>1.3778112469632677E-2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5.6598425393051786</v>
      </c>
      <c r="G100" s="73">
        <f t="shared" si="7"/>
        <v>1.4982004245945672E-2</v>
      </c>
      <c r="H100" s="73">
        <f t="shared" si="8"/>
        <v>7.4224441594916799</v>
      </c>
      <c r="I100" s="73">
        <f t="shared" si="5"/>
        <v>6.2224441594916797</v>
      </c>
      <c r="J100" s="73">
        <f t="shared" si="9"/>
        <v>8.0713402561599142E-3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5.958794934821988</v>
      </c>
      <c r="G101" s="73">
        <f t="shared" si="7"/>
        <v>9.0870449191108784E-3</v>
      </c>
      <c r="H101" s="73">
        <f t="shared" si="8"/>
        <v>7.9986288823865186</v>
      </c>
      <c r="I101" s="73">
        <f t="shared" si="5"/>
        <v>6.7986288823865184</v>
      </c>
      <c r="J101" s="73">
        <f t="shared" si="9"/>
        <v>4.5428647466509986E-3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6.2577473303387974</v>
      </c>
      <c r="G102" s="73">
        <f t="shared" si="7"/>
        <v>5.295459545855803E-3</v>
      </c>
      <c r="H102" s="73">
        <f t="shared" si="8"/>
        <v>8.6195413024877983</v>
      </c>
      <c r="I102" s="73">
        <f t="shared" si="5"/>
        <v>7.4195413024877981</v>
      </c>
      <c r="J102" s="73">
        <f t="shared" si="9"/>
        <v>2.4566437317891216E-3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6.5566997258556068</v>
      </c>
      <c r="G103" s="73">
        <f t="shared" si="7"/>
        <v>2.9649191499378255E-3</v>
      </c>
      <c r="H103" s="73">
        <f t="shared" si="8"/>
        <v>9.2886535127162233</v>
      </c>
      <c r="I103" s="73">
        <f t="shared" si="5"/>
        <v>8.088653512716224</v>
      </c>
      <c r="J103" s="73">
        <f t="shared" si="9"/>
        <v>1.2763881722872483E-3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6.8556521213724162</v>
      </c>
      <c r="G104" s="73">
        <f t="shared" si="7"/>
        <v>1.5949617646269796E-3</v>
      </c>
      <c r="H104" s="73">
        <f t="shared" si="8"/>
        <v>10.009707135389373</v>
      </c>
      <c r="I104" s="73">
        <f t="shared" si="5"/>
        <v>8.8097071353893739</v>
      </c>
      <c r="J104" s="73">
        <f t="shared" si="9"/>
        <v>6.3716451981893113E-4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7.1546045168892265</v>
      </c>
      <c r="G105" s="73">
        <f t="shared" si="7"/>
        <v>8.243581165106867E-4</v>
      </c>
      <c r="H105" s="73">
        <f t="shared" si="8"/>
        <v>10.786734245076351</v>
      </c>
      <c r="I105" s="73">
        <f t="shared" si="5"/>
        <v>9.586734245076352</v>
      </c>
      <c r="J105" s="73">
        <f t="shared" si="9"/>
        <v>3.0559667050682931E-4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7.453556912406035</v>
      </c>
      <c r="G106" s="73">
        <f t="shared" si="7"/>
        <v>4.0936412572037384E-4</v>
      </c>
      <c r="H106" s="73">
        <f t="shared" si="8"/>
        <v>11.624079915638495</v>
      </c>
      <c r="I106" s="73">
        <f t="shared" si="5"/>
        <v>10.424079915638496</v>
      </c>
      <c r="J106" s="73">
        <f t="shared" si="9"/>
        <v>1.4082309108948349E-4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7.7525093079228453</v>
      </c>
      <c r="G107" s="73">
        <f t="shared" si="7"/>
        <v>1.9531332089629201E-4</v>
      </c>
      <c r="H107" s="73">
        <f t="shared" si="8"/>
        <v>12.526426517537127</v>
      </c>
      <c r="I107" s="73">
        <f t="shared" si="5"/>
        <v>11.326426517537127</v>
      </c>
      <c r="J107" s="73">
        <f t="shared" si="9"/>
        <v>6.2348692195316941E-5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8.051461703439653</v>
      </c>
      <c r="G108" s="73">
        <f t="shared" si="7"/>
        <v>8.9532800386846585E-5</v>
      </c>
      <c r="H108" s="73">
        <f t="shared" si="8"/>
        <v>13.498819901277177</v>
      </c>
      <c r="I108" s="73">
        <f t="shared" si="5"/>
        <v>12.298819901277177</v>
      </c>
      <c r="J108" s="73">
        <f t="shared" si="9"/>
        <v>2.6522169386826801E-5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8.3504140989564632</v>
      </c>
      <c r="G109" s="73">
        <f t="shared" si="7"/>
        <v>3.9433079406934133E-5</v>
      </c>
      <c r="H109" s="73">
        <f t="shared" si="8"/>
        <v>14.546697613402326</v>
      </c>
      <c r="I109" s="73">
        <f t="shared" si="5"/>
        <v>13.346697613402327</v>
      </c>
      <c r="J109" s="73">
        <f t="shared" si="9"/>
        <v>1.0839742391275139E-5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8.6493664944732735</v>
      </c>
      <c r="G110" s="73">
        <f t="shared" si="7"/>
        <v>1.668658399403928E-5</v>
      </c>
      <c r="H110" s="73">
        <f t="shared" si="8"/>
        <v>15.675919302823198</v>
      </c>
      <c r="I110" s="73">
        <f t="shared" si="5"/>
        <v>14.475919302823199</v>
      </c>
      <c r="J110" s="73">
        <f t="shared" si="9"/>
        <v>4.2565437227483272E-6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8.9483188899900838</v>
      </c>
      <c r="G111" s="73">
        <f t="shared" si="7"/>
        <v>6.78425877668945E-6</v>
      </c>
      <c r="H111" s="73">
        <f t="shared" si="8"/>
        <v>16.892799487508569</v>
      </c>
      <c r="I111" s="73">
        <f t="shared" si="5"/>
        <v>15.692799487508569</v>
      </c>
      <c r="J111" s="73">
        <f t="shared" si="9"/>
        <v>1.6059183369088839E-6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9.2472712855068924</v>
      </c>
      <c r="G112" s="73">
        <f t="shared" si="7"/>
        <v>2.6501203204502542E-6</v>
      </c>
      <c r="H112" s="73">
        <f t="shared" si="8"/>
        <v>18.204142864768116</v>
      </c>
      <c r="I112" s="73">
        <f t="shared" si="5"/>
        <v>17.004142864768117</v>
      </c>
      <c r="J112" s="73">
        <f t="shared" si="9"/>
        <v>5.821273927483399E-7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9.5462236810236867</v>
      </c>
      <c r="G113" s="73">
        <f t="shared" si="7"/>
        <v>9.9461956955665705E-7</v>
      </c>
      <c r="H113" s="73">
        <f t="shared" si="8"/>
        <v>19.617282362579083</v>
      </c>
      <c r="I113" s="73">
        <f t="shared" si="5"/>
        <v>18.417282362579083</v>
      </c>
      <c r="J113" s="73">
        <f t="shared" si="9"/>
        <v>2.0274065057475119E-7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-0.11649606387382255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5.8982458565994573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-9.5864140431382725E-5</v>
      </c>
      <c r="H120" s="69" t="s">
        <v>50</v>
      </c>
      <c r="I120" s="79">
        <f>IF($B$9&gt;3,INDEX(XX!$C$4:$C$150,$B$9))</f>
        <v>0.25209999999999999</v>
      </c>
      <c r="J120" s="79">
        <f>IF($B$9&gt;3,INDEX(XX!$D$4:$D$150,$B$9))</f>
        <v>0.32740000000000002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42699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(2018)0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7" sqref="M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129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/>
      <c r="N3" s="57"/>
      <c r="O3" s="58" t="b">
        <f t="shared" ref="O3:O66" si="0">IF($N3&gt;0,LN($N3+$B$26))</f>
        <v>0</v>
      </c>
      <c r="T3" s="69" t="s">
        <v>109</v>
      </c>
      <c r="U3" s="82" t="e">
        <f>$B$21</f>
        <v>#DIV/0!</v>
      </c>
      <c r="V3" s="82" t="e">
        <f t="shared" ref="V3:V10" si="1">U3</f>
        <v>#DIV/0!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/>
      <c r="N4" s="57"/>
      <c r="O4" s="58" t="b">
        <f t="shared" si="0"/>
        <v>0</v>
      </c>
      <c r="T4" s="69" t="s">
        <v>111</v>
      </c>
      <c r="U4" s="82" t="e">
        <f>$B$31</f>
        <v>#DIV/0!</v>
      </c>
      <c r="V4" s="82" t="e">
        <f t="shared" si="1"/>
        <v>#DIV/0!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/>
      <c r="N5" s="57"/>
      <c r="O5" s="58" t="b">
        <f t="shared" si="0"/>
        <v>0</v>
      </c>
      <c r="T5" s="69" t="s">
        <v>110</v>
      </c>
      <c r="U5" s="82" t="e">
        <f>$B$22</f>
        <v>#DIV/0!</v>
      </c>
      <c r="V5" s="82" t="e">
        <f t="shared" si="1"/>
        <v>#DIV/0!</v>
      </c>
    </row>
    <row r="6" spans="1:24" ht="15" customHeight="1" x14ac:dyDescent="0.25">
      <c r="A6" s="107" t="s">
        <v>18</v>
      </c>
      <c r="B6" s="116">
        <v>0.9</v>
      </c>
      <c r="C6" s="18"/>
      <c r="M6" s="56"/>
      <c r="N6" s="57"/>
      <c r="O6" s="58" t="b">
        <f t="shared" si="0"/>
        <v>0</v>
      </c>
      <c r="T6" s="69" t="s">
        <v>29</v>
      </c>
      <c r="U6" s="82" t="e">
        <f>$B$32</f>
        <v>#DIV/0!</v>
      </c>
      <c r="V6" s="82" t="e">
        <f t="shared" si="1"/>
        <v>#DIV/0!</v>
      </c>
    </row>
    <row r="7" spans="1:24" ht="15" customHeight="1" x14ac:dyDescent="0.2">
      <c r="D7" s="4"/>
      <c r="F7" s="5"/>
      <c r="M7" s="56"/>
      <c r="N7" s="57"/>
      <c r="O7" s="58" t="b">
        <f t="shared" si="0"/>
        <v>0</v>
      </c>
      <c r="T7" s="69" t="s">
        <v>31</v>
      </c>
      <c r="U7" s="82" t="e">
        <f>$C$21</f>
        <v>#DIV/0!</v>
      </c>
      <c r="V7" s="82" t="e">
        <f t="shared" si="1"/>
        <v>#DIV/0!</v>
      </c>
    </row>
    <row r="8" spans="1:24" ht="15" customHeight="1" x14ac:dyDescent="0.25">
      <c r="A8" s="140" t="s">
        <v>12</v>
      </c>
      <c r="B8" s="140"/>
      <c r="C8" s="140"/>
      <c r="D8" s="4"/>
      <c r="M8" s="56"/>
      <c r="N8" s="57"/>
      <c r="O8" s="58" t="b">
        <f t="shared" si="0"/>
        <v>0</v>
      </c>
      <c r="T8" s="69" t="s">
        <v>32</v>
      </c>
      <c r="U8" s="82" t="e">
        <f>$C$31</f>
        <v>#DIV/0!</v>
      </c>
      <c r="V8" s="82" t="e">
        <f t="shared" si="1"/>
        <v>#DIV/0!</v>
      </c>
    </row>
    <row r="9" spans="1:24" ht="15" customHeight="1" x14ac:dyDescent="0.2">
      <c r="A9" s="101" t="s">
        <v>11</v>
      </c>
      <c r="B9" s="59">
        <f>COUNT($M$3:$M252)</f>
        <v>0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 t="e">
        <f>$C$22</f>
        <v>#DIV/0!</v>
      </c>
      <c r="V9" s="82" t="e">
        <f t="shared" si="1"/>
        <v>#DIV/0!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 t="e">
        <f>$C$32</f>
        <v>#DIV/0!</v>
      </c>
      <c r="V10" s="82" t="e">
        <f t="shared" si="1"/>
        <v>#DIV/0!</v>
      </c>
    </row>
    <row r="11" spans="1:24" ht="15" customHeight="1" x14ac:dyDescent="0.2">
      <c r="A11" s="102" t="s">
        <v>8</v>
      </c>
      <c r="B11" s="61">
        <f>MAX($N$3:$N$252)</f>
        <v>0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 t="e">
        <f>$B$12</f>
        <v>#NUM!</v>
      </c>
      <c r="V11" s="82" t="e">
        <f>U11</f>
        <v>#NUM!</v>
      </c>
    </row>
    <row r="12" spans="1:24" ht="15" customHeight="1" x14ac:dyDescent="0.2">
      <c r="A12" s="102" t="s">
        <v>68</v>
      </c>
      <c r="B12" s="62" t="e">
        <f>MEDIAN($N$3:$N$252)</f>
        <v>#NUM!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e">
        <f>IF(ABS($G$118)&gt;$J$120,"&gt; 99%",IF(ABS($G$118)&gt;$I$120,"&gt; 95%","nicht signifikant"))</f>
        <v>#DIV/0!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0</v>
      </c>
      <c r="V14" s="78"/>
      <c r="W14" s="79">
        <v>0</v>
      </c>
      <c r="X14" s="80" t="e">
        <f t="shared" ref="X14:X40" si="2">V14/$B$38/$B$9</f>
        <v>#DIV/0!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0</v>
      </c>
      <c r="V15" s="84">
        <f>FREQUENCY($N$3:$N$252,$U$15:$U$39)</f>
        <v>0</v>
      </c>
      <c r="W15" s="79">
        <f t="shared" ref="W15:W39" si="4">(U15+U14)/2</f>
        <v>0</v>
      </c>
      <c r="X15" s="80" t="e">
        <f t="shared" si="2"/>
        <v>#DIV/0!</v>
      </c>
    </row>
    <row r="16" spans="1:24" ht="15" customHeight="1" x14ac:dyDescent="0.2">
      <c r="A16" s="101" t="s">
        <v>73</v>
      </c>
      <c r="B16" s="63" t="e">
        <f>AVERAGE($N$3:$N$252)</f>
        <v>#DIV/0!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0</v>
      </c>
      <c r="V16" s="84">
        <f t="array" ref="V16:V40">FREQUENCY($N$3:$N$252,$U$15:$U$39)</f>
        <v>0</v>
      </c>
      <c r="W16" s="79">
        <f t="shared" si="4"/>
        <v>0</v>
      </c>
      <c r="X16" s="80" t="e">
        <f t="shared" si="2"/>
        <v>#DIV/0!</v>
      </c>
    </row>
    <row r="17" spans="1:24" ht="15" customHeight="1" x14ac:dyDescent="0.2">
      <c r="A17" s="102" t="s">
        <v>75</v>
      </c>
      <c r="B17" s="62" t="e">
        <f>STDEV($N$3:$N$252)</f>
        <v>#DIV/0!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0</v>
      </c>
      <c r="V17" s="84">
        <v>0</v>
      </c>
      <c r="W17" s="79">
        <f t="shared" si="4"/>
        <v>0</v>
      </c>
      <c r="X17" s="80" t="e">
        <f t="shared" si="2"/>
        <v>#DIV/0!</v>
      </c>
    </row>
    <row r="18" spans="1:24" ht="15" customHeight="1" x14ac:dyDescent="0.2">
      <c r="A18" s="102" t="s">
        <v>92</v>
      </c>
      <c r="B18" s="24" t="e">
        <f>((NORMINV(0.83,B16,B17)-B12)-(B12-NORMINV(0.17,B16,B17)))/(NORMINV(0.83,B16,B17)-NORMINV(0.17,B16,B17))</f>
        <v>#DIV/0!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0</v>
      </c>
      <c r="V18" s="84">
        <v>0</v>
      </c>
      <c r="W18" s="79">
        <f t="shared" si="4"/>
        <v>0</v>
      </c>
      <c r="X18" s="80" t="e">
        <f t="shared" si="2"/>
        <v>#DIV/0!</v>
      </c>
    </row>
    <row r="19" spans="1:24" ht="15" customHeight="1" x14ac:dyDescent="0.25">
      <c r="A19" s="102" t="s">
        <v>25</v>
      </c>
      <c r="B19" s="20" t="e">
        <f>IF(ABS(($B$16-$B$12)/$B$16)&lt;=0.1,"gut",IF(ABS(($B$16-$B$12)/$B$16)&lt;=0.2,"mäßig","schlecht"))</f>
        <v>#DIV/0!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</v>
      </c>
      <c r="V19" s="84">
        <v>0</v>
      </c>
      <c r="W19" s="79">
        <f t="shared" si="4"/>
        <v>0</v>
      </c>
      <c r="X19" s="80" t="e">
        <f t="shared" si="2"/>
        <v>#DIV/0!</v>
      </c>
    </row>
    <row r="20" spans="1:24" ht="15" customHeight="1" x14ac:dyDescent="0.2">
      <c r="A20" s="102" t="s">
        <v>44</v>
      </c>
      <c r="B20" s="20" t="e">
        <f>IF(((B11-B10)/B17)&gt;INDEX(XX!$B$4:'XX'!$B$150,$B$9-3),"ja","nein")</f>
        <v>#DIV/0!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</v>
      </c>
      <c r="V20" s="84">
        <v>0</v>
      </c>
      <c r="W20" s="79">
        <f t="shared" si="4"/>
        <v>0</v>
      </c>
      <c r="X20" s="80" t="e">
        <f t="shared" si="2"/>
        <v>#DIV/0!</v>
      </c>
    </row>
    <row r="21" spans="1:24" ht="15" customHeight="1" x14ac:dyDescent="0.2">
      <c r="A21" s="103" t="s">
        <v>76</v>
      </c>
      <c r="B21" s="62" t="e">
        <f>NORMINV(0.975,$B$16,$B$17)</f>
        <v>#DIV/0!</v>
      </c>
      <c r="C21" s="62" t="e">
        <f>NORMINV(0.025,$B$16,$B$17)</f>
        <v>#DIV/0!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</v>
      </c>
      <c r="V21" s="84">
        <v>0</v>
      </c>
      <c r="W21" s="79">
        <f t="shared" si="4"/>
        <v>0</v>
      </c>
      <c r="X21" s="80" t="e">
        <f t="shared" si="2"/>
        <v>#DIV/0!</v>
      </c>
    </row>
    <row r="22" spans="1:24" ht="15" customHeight="1" x14ac:dyDescent="0.2">
      <c r="A22" s="104" t="s">
        <v>77</v>
      </c>
      <c r="B22" s="62" t="e">
        <f>NORMINV(0.99,$B$16,$B$17)</f>
        <v>#DIV/0!</v>
      </c>
      <c r="C22" s="62" t="e">
        <f>NORMINV(0.01,B16,B17)</f>
        <v>#DIV/0!</v>
      </c>
      <c r="M22" s="56"/>
      <c r="N22" s="57"/>
      <c r="O22" s="58" t="b">
        <f t="shared" si="0"/>
        <v>0</v>
      </c>
      <c r="T22" s="69">
        <v>8</v>
      </c>
      <c r="U22" s="77">
        <f t="shared" si="3"/>
        <v>0</v>
      </c>
      <c r="V22" s="84">
        <v>0</v>
      </c>
      <c r="W22" s="79">
        <f t="shared" si="4"/>
        <v>0</v>
      </c>
      <c r="X22" s="80" t="e">
        <f t="shared" si="2"/>
        <v>#DIV/0!</v>
      </c>
    </row>
    <row r="23" spans="1:24" ht="15" customHeight="1" x14ac:dyDescent="0.25">
      <c r="A23" s="112" t="s">
        <v>81</v>
      </c>
      <c r="B23" s="96" t="e">
        <f>MAX($B$22+0.5*$B$6,$B$6)</f>
        <v>#DIV/0!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</v>
      </c>
      <c r="V23" s="84">
        <v>0</v>
      </c>
      <c r="W23" s="79">
        <f t="shared" si="4"/>
        <v>0</v>
      </c>
      <c r="X23" s="80" t="e">
        <f t="shared" si="2"/>
        <v>#DIV/0!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</v>
      </c>
      <c r="V24" s="84">
        <v>0</v>
      </c>
      <c r="W24" s="79">
        <f t="shared" si="4"/>
        <v>0</v>
      </c>
      <c r="X24" s="80" t="e">
        <f t="shared" si="2"/>
        <v>#DIV/0!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 t="e">
        <f>MEDIAN($O$3:$O$252)</f>
        <v>#NUM!</v>
      </c>
      <c r="T25" s="69">
        <v>11</v>
      </c>
      <c r="U25" s="77">
        <f t="shared" si="3"/>
        <v>0</v>
      </c>
      <c r="V25" s="84">
        <v>0</v>
      </c>
      <c r="W25" s="79">
        <f t="shared" si="4"/>
        <v>0</v>
      </c>
      <c r="X25" s="80" t="e">
        <f t="shared" si="2"/>
        <v>#DIV/0!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 t="e">
        <f>AVERAGE($O$3:$O$252)</f>
        <v>#DIV/0!</v>
      </c>
      <c r="T26" s="69">
        <v>12</v>
      </c>
      <c r="U26" s="77">
        <f t="shared" si="3"/>
        <v>0</v>
      </c>
      <c r="V26" s="84">
        <v>0</v>
      </c>
      <c r="W26" s="79">
        <f t="shared" si="4"/>
        <v>0</v>
      </c>
      <c r="X26" s="80" t="e">
        <f t="shared" si="2"/>
        <v>#DIV/0!</v>
      </c>
    </row>
    <row r="27" spans="1:24" ht="15" customHeight="1" x14ac:dyDescent="0.2">
      <c r="A27" s="65" t="s">
        <v>17</v>
      </c>
      <c r="B27" s="62" t="e">
        <f>EXP($R$26)</f>
        <v>#DIV/0!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 t="e">
        <f>STDEV($O$3:$O$252)</f>
        <v>#DIV/0!</v>
      </c>
      <c r="T27" s="69">
        <v>13</v>
      </c>
      <c r="U27" s="77">
        <f t="shared" si="3"/>
        <v>0</v>
      </c>
      <c r="V27" s="84">
        <v>0</v>
      </c>
      <c r="W27" s="79">
        <f t="shared" si="4"/>
        <v>0</v>
      </c>
      <c r="X27" s="80" t="e">
        <f t="shared" si="2"/>
        <v>#DIV/0!</v>
      </c>
    </row>
    <row r="28" spans="1:24" ht="15" customHeight="1" x14ac:dyDescent="0.2">
      <c r="A28" s="65" t="s">
        <v>92</v>
      </c>
      <c r="B28" s="24" t="e">
        <f>((NORMINV(0.83,$R$26,$R$27)-$R25)-($R$25-NORMINV(0.17,$R$26,$R$27)))/(NORMINV(0.83,$R$26,$R$27)-NORMINV(0.17,$R$26,$R$27))</f>
        <v>#DIV/0!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 t="e">
        <f>NORMINV(0.025,$R$26,$R$27)</f>
        <v>#DIV/0!</v>
      </c>
      <c r="T28" s="69">
        <v>14</v>
      </c>
      <c r="U28" s="77">
        <f t="shared" si="3"/>
        <v>0</v>
      </c>
      <c r="V28" s="84">
        <v>0</v>
      </c>
      <c r="W28" s="79">
        <f t="shared" si="4"/>
        <v>0</v>
      </c>
      <c r="X28" s="80" t="e">
        <f t="shared" si="2"/>
        <v>#DIV/0!</v>
      </c>
    </row>
    <row r="29" spans="1:24" ht="15" customHeight="1" x14ac:dyDescent="0.2">
      <c r="A29" s="65" t="s">
        <v>25</v>
      </c>
      <c r="B29" s="62" t="e">
        <f>IF(ABS(($R26-$R$25)/$R$26)&lt;=0.1,"gut",IF(ABS(($R$26-$R$25)/$R$26)&lt;=0.2,"mäßig","schlecht"))</f>
        <v>#DIV/0!</v>
      </c>
      <c r="C29" s="62"/>
      <c r="M29" s="56"/>
      <c r="N29" s="57"/>
      <c r="O29" s="58" t="b">
        <f t="shared" si="0"/>
        <v>0</v>
      </c>
      <c r="Q29" s="75" t="s">
        <v>107</v>
      </c>
      <c r="R29" s="75" t="e">
        <f>NORMINV(0.01,$R$26,$R$27)</f>
        <v>#DIV/0!</v>
      </c>
      <c r="T29" s="69">
        <v>15</v>
      </c>
      <c r="U29" s="77">
        <f t="shared" si="3"/>
        <v>0</v>
      </c>
      <c r="V29" s="84">
        <v>0</v>
      </c>
      <c r="W29" s="79">
        <f t="shared" si="4"/>
        <v>0</v>
      </c>
      <c r="X29" s="80" t="e">
        <f t="shared" si="2"/>
        <v>#DIV/0!</v>
      </c>
    </row>
    <row r="30" spans="1:24" ht="15" customHeight="1" x14ac:dyDescent="0.2">
      <c r="A30" s="65" t="s">
        <v>44</v>
      </c>
      <c r="B30" s="62" t="e">
        <f>IF(((MAX($N$3:$N$252)-MIN($O$3:$O$252))/$R$27)&gt;INDEX(XX!$B$4:$B$150,$B$9-3),"ja","nein")</f>
        <v>#DIV/0!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 t="e">
        <f>NORMINV(0.95,$R$26,$R$27)</f>
        <v>#DIV/0!</v>
      </c>
      <c r="T30" s="69">
        <v>16</v>
      </c>
      <c r="U30" s="77">
        <f t="shared" si="3"/>
        <v>0</v>
      </c>
      <c r="V30" s="84">
        <v>0</v>
      </c>
      <c r="W30" s="79">
        <f t="shared" si="4"/>
        <v>0</v>
      </c>
      <c r="X30" s="80" t="e">
        <f t="shared" si="2"/>
        <v>#DIV/0!</v>
      </c>
    </row>
    <row r="31" spans="1:24" ht="15" customHeight="1" x14ac:dyDescent="0.2">
      <c r="A31" s="65" t="s">
        <v>98</v>
      </c>
      <c r="B31" s="62" t="e">
        <f>EXP($R30)-$B$26</f>
        <v>#DIV/0!</v>
      </c>
      <c r="C31" s="62" t="e">
        <f>NORMINV(0.025,$R$26,$R$27)</f>
        <v>#DIV/0!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 t="e">
        <f>NORMINV(0.98,$R$26,$R$27)</f>
        <v>#DIV/0!</v>
      </c>
      <c r="T31" s="69">
        <v>17</v>
      </c>
      <c r="U31" s="77">
        <f t="shared" si="3"/>
        <v>0</v>
      </c>
      <c r="V31" s="84">
        <v>0</v>
      </c>
      <c r="W31" s="79">
        <f t="shared" si="4"/>
        <v>0</v>
      </c>
      <c r="X31" s="80" t="e">
        <f t="shared" si="2"/>
        <v>#DIV/0!</v>
      </c>
    </row>
    <row r="32" spans="1:24" ht="15" customHeight="1" x14ac:dyDescent="0.2">
      <c r="A32" s="65" t="s">
        <v>86</v>
      </c>
      <c r="B32" s="62" t="e">
        <f>EXP($R$31)-$B$26</f>
        <v>#DIV/0!</v>
      </c>
      <c r="C32" s="62" t="e">
        <f>NORMINV(0.01,$R$26,$R$27)</f>
        <v>#DIV/0!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</v>
      </c>
      <c r="V32" s="84">
        <v>0</v>
      </c>
      <c r="W32" s="79">
        <f t="shared" si="4"/>
        <v>0</v>
      </c>
      <c r="X32" s="80" t="e">
        <f t="shared" si="2"/>
        <v>#DIV/0!</v>
      </c>
    </row>
    <row r="33" spans="1:24" ht="15" customHeight="1" x14ac:dyDescent="0.25">
      <c r="A33" s="112" t="s">
        <v>81</v>
      </c>
      <c r="B33" s="113" t="e">
        <f>MAX($B$32+0.5*$B$6,B6)</f>
        <v>#DIV/0!</v>
      </c>
      <c r="M33" s="56"/>
      <c r="N33" s="57"/>
      <c r="O33" s="58" t="b">
        <f t="shared" si="0"/>
        <v>0</v>
      </c>
      <c r="T33" s="69">
        <v>19</v>
      </c>
      <c r="U33" s="77">
        <f t="shared" si="3"/>
        <v>0</v>
      </c>
      <c r="V33" s="84">
        <v>0</v>
      </c>
      <c r="W33" s="79">
        <f t="shared" si="4"/>
        <v>0</v>
      </c>
      <c r="X33" s="80" t="e">
        <f t="shared" si="2"/>
        <v>#DIV/0!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</v>
      </c>
      <c r="V34" s="84">
        <v>0</v>
      </c>
      <c r="W34" s="79">
        <f t="shared" si="4"/>
        <v>0</v>
      </c>
      <c r="X34" s="80" t="e">
        <f t="shared" si="2"/>
        <v>#DIV/0!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</v>
      </c>
      <c r="V35" s="84">
        <v>0</v>
      </c>
      <c r="W35" s="79">
        <f t="shared" si="4"/>
        <v>0</v>
      </c>
      <c r="X35" s="80" t="e">
        <f t="shared" si="2"/>
        <v>#DIV/0!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</v>
      </c>
      <c r="V36" s="84">
        <v>0</v>
      </c>
      <c r="W36" s="79">
        <f t="shared" si="4"/>
        <v>0</v>
      </c>
      <c r="X36" s="80" t="e">
        <f t="shared" si="2"/>
        <v>#DIV/0!</v>
      </c>
    </row>
    <row r="37" spans="1:24" ht="15.75" x14ac:dyDescent="0.25">
      <c r="A37" s="103" t="s">
        <v>8</v>
      </c>
      <c r="B37" s="52">
        <f>1.05*B11</f>
        <v>0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</v>
      </c>
      <c r="V37" s="84">
        <v>0</v>
      </c>
      <c r="W37" s="79">
        <f t="shared" si="4"/>
        <v>0</v>
      </c>
      <c r="X37" s="80" t="e">
        <f t="shared" si="2"/>
        <v>#DIV/0!</v>
      </c>
    </row>
    <row r="38" spans="1:24" ht="15" x14ac:dyDescent="0.2">
      <c r="A38" s="104" t="s">
        <v>19</v>
      </c>
      <c r="B38" s="53">
        <f>($B$37-$B$36)/25</f>
        <v>0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</v>
      </c>
      <c r="V38" s="84">
        <v>0</v>
      </c>
      <c r="W38" s="79">
        <f t="shared" si="4"/>
        <v>0</v>
      </c>
      <c r="X38" s="80" t="e">
        <f t="shared" si="2"/>
        <v>#DIV/0!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</v>
      </c>
      <c r="V39" s="84">
        <v>0</v>
      </c>
      <c r="W39" s="79">
        <f t="shared" si="4"/>
        <v>0</v>
      </c>
      <c r="X39" s="80" t="e">
        <f t="shared" si="2"/>
        <v>#DIV/0!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 t="e">
        <f t="shared" si="2"/>
        <v>#DIV/0!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0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0</v>
      </c>
      <c r="U47" s="28" t="e">
        <f>$X$15</f>
        <v>#DIV/0!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</v>
      </c>
      <c r="U48" s="28" t="e">
        <f>$X$15</f>
        <v>#DIV/0!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</v>
      </c>
      <c r="U49" s="28" t="e">
        <f>$X$16</f>
        <v>#DIV/0!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</v>
      </c>
      <c r="U50" s="28" t="e">
        <f>$X$16</f>
        <v>#DIV/0!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</v>
      </c>
      <c r="U51" s="28" t="e">
        <f>$X$17</f>
        <v>#DIV/0!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</v>
      </c>
      <c r="U52" s="28" t="e">
        <f>$X$17</f>
        <v>#DIV/0!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</v>
      </c>
      <c r="U53" s="28" t="e">
        <f>$X$18</f>
        <v>#DIV/0!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</v>
      </c>
      <c r="U54" s="28" t="e">
        <f>$X$18</f>
        <v>#DIV/0!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</v>
      </c>
      <c r="U55" s="28" t="e">
        <f>$X$19</f>
        <v>#DIV/0!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</v>
      </c>
      <c r="U56" s="28" t="e">
        <f>$X$19</f>
        <v>#DIV/0!</v>
      </c>
    </row>
    <row r="57" spans="5:21" ht="15" x14ac:dyDescent="0.2">
      <c r="E57" s="70">
        <v>36161</v>
      </c>
      <c r="F57" s="74" t="e">
        <f>$B$21</f>
        <v>#DIV/0!</v>
      </c>
      <c r="G57" s="74" t="e">
        <f>$C$21</f>
        <v>#DIV/0!</v>
      </c>
      <c r="H57" s="74" t="e">
        <f>$B$22</f>
        <v>#DIV/0!</v>
      </c>
      <c r="I57" s="74" t="e">
        <f>$C$22</f>
        <v>#DIV/0!</v>
      </c>
      <c r="J57" s="74" t="e">
        <f>$B$31</f>
        <v>#DIV/0!</v>
      </c>
      <c r="K57" s="74" t="e">
        <f>$B$32</f>
        <v>#DIV/0!</v>
      </c>
      <c r="M57" s="56"/>
      <c r="N57" s="57"/>
      <c r="O57" s="58" t="b">
        <f t="shared" si="0"/>
        <v>0</v>
      </c>
      <c r="T57" s="85">
        <f>$U$19+$B$38/100</f>
        <v>0</v>
      </c>
      <c r="U57" s="28" t="e">
        <f>$X$20</f>
        <v>#DIV/0!</v>
      </c>
    </row>
    <row r="58" spans="5:21" ht="15" x14ac:dyDescent="0.2">
      <c r="E58" s="70">
        <v>44196</v>
      </c>
      <c r="F58" s="74" t="e">
        <f>$B$21</f>
        <v>#DIV/0!</v>
      </c>
      <c r="G58" s="74" t="e">
        <f>$C$21</f>
        <v>#DIV/0!</v>
      </c>
      <c r="H58" s="74" t="e">
        <f>$B$22</f>
        <v>#DIV/0!</v>
      </c>
      <c r="I58" s="74" t="e">
        <f>$C$22</f>
        <v>#DIV/0!</v>
      </c>
      <c r="J58" s="74" t="e">
        <f>$B$31</f>
        <v>#DIV/0!</v>
      </c>
      <c r="K58" s="74" t="e">
        <f>$B$32</f>
        <v>#DIV/0!</v>
      </c>
      <c r="M58" s="56"/>
      <c r="N58" s="57"/>
      <c r="O58" s="58" t="b">
        <f t="shared" si="0"/>
        <v>0</v>
      </c>
      <c r="T58" s="85">
        <f>$U$20-$B$38/100</f>
        <v>0</v>
      </c>
      <c r="U58" s="28" t="e">
        <f>$X$20</f>
        <v>#DIV/0!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</v>
      </c>
      <c r="U59" s="28" t="e">
        <f>$X$21</f>
        <v>#DIV/0!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</v>
      </c>
      <c r="U60" s="28" t="e">
        <f>$X$21</f>
        <v>#DIV/0!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</v>
      </c>
      <c r="U61" s="28" t="e">
        <f>$X$22</f>
        <v>#DIV/0!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</v>
      </c>
      <c r="U62" s="28" t="e">
        <f>$X$22</f>
        <v>#DIV/0!</v>
      </c>
    </row>
    <row r="63" spans="5:21" ht="15" x14ac:dyDescent="0.2">
      <c r="E63" s="72">
        <v>-5</v>
      </c>
      <c r="F63" s="73" t="e">
        <f>$B$16+$E63*$B$17</f>
        <v>#DIV/0!</v>
      </c>
      <c r="G63" s="73" t="e">
        <f>NORMDIST($F63,$B$16,$B$17,FALSE)</f>
        <v>#DIV/0!</v>
      </c>
      <c r="H63" s="73" t="e">
        <f>EXP($R$26+$E63*$R$27)</f>
        <v>#DIV/0!</v>
      </c>
      <c r="I63" s="73" t="e">
        <f t="shared" ref="I63:I113" si="5">H63-$B$26</f>
        <v>#DIV/0!</v>
      </c>
      <c r="J63" s="73" t="e">
        <f>1/$H63/SQRT(2*PI())/$R$27*EXP(-POWER(LN($H63)-$R$26,2)/2/POWER($R$27,2))</f>
        <v>#DIV/0!</v>
      </c>
      <c r="K63" s="73" t="e">
        <f>LOGNORMDIST($H63,$R$26,$R$27)</f>
        <v>#DIV/0!</v>
      </c>
      <c r="M63" s="56"/>
      <c r="N63" s="57"/>
      <c r="O63" s="58" t="b">
        <f t="shared" si="0"/>
        <v>0</v>
      </c>
      <c r="T63" s="85">
        <f>$U$22+$B$38/100</f>
        <v>0</v>
      </c>
      <c r="U63" s="28" t="e">
        <f>$X$23</f>
        <v>#DIV/0!</v>
      </c>
    </row>
    <row r="64" spans="5:21" ht="15" x14ac:dyDescent="0.2">
      <c r="E64" s="72">
        <v>-4.8</v>
      </c>
      <c r="F64" s="73" t="e">
        <f t="shared" ref="F64:F113" si="6">$B$16+$E64*$B$17</f>
        <v>#DIV/0!</v>
      </c>
      <c r="G64" s="73" t="e">
        <f t="shared" ref="G64:G113" si="7">NORMDIST($F64,$B$16,$B$17,FALSE)</f>
        <v>#DIV/0!</v>
      </c>
      <c r="H64" s="73" t="e">
        <f t="shared" ref="H64:H113" si="8">EXP($R$26+$E64*$R$27)</f>
        <v>#DIV/0!</v>
      </c>
      <c r="I64" s="73" t="e">
        <f t="shared" si="5"/>
        <v>#DIV/0!</v>
      </c>
      <c r="J64" s="73" t="e">
        <f t="shared" ref="J64:J113" si="9">1/$H64/SQRT(2*PI())/$R$27*EXP(-POWER(LN($H64)-$R$26,2)/2/POWER($R$27,2))</f>
        <v>#DIV/0!</v>
      </c>
      <c r="K64" s="73" t="e">
        <f t="shared" ref="K64:K113" si="10">LOGNORMDIST($H64,$R$26,$R$27)</f>
        <v>#DIV/0!</v>
      </c>
      <c r="M64" s="56"/>
      <c r="N64" s="57"/>
      <c r="O64" s="58" t="b">
        <f t="shared" si="0"/>
        <v>0</v>
      </c>
      <c r="T64" s="85">
        <f>$U$23-$B$38/100</f>
        <v>0</v>
      </c>
      <c r="U64" s="28" t="e">
        <f>$X$23</f>
        <v>#DIV/0!</v>
      </c>
    </row>
    <row r="65" spans="5:21" ht="15" x14ac:dyDescent="0.2">
      <c r="E65" s="72">
        <v>-4.5999999999999996</v>
      </c>
      <c r="F65" s="73" t="e">
        <f t="shared" si="6"/>
        <v>#DIV/0!</v>
      </c>
      <c r="G65" s="73" t="e">
        <f t="shared" si="7"/>
        <v>#DIV/0!</v>
      </c>
      <c r="H65" s="73" t="e">
        <f t="shared" si="8"/>
        <v>#DIV/0!</v>
      </c>
      <c r="I65" s="73" t="e">
        <f t="shared" si="5"/>
        <v>#DIV/0!</v>
      </c>
      <c r="J65" s="73" t="e">
        <f t="shared" si="9"/>
        <v>#DIV/0!</v>
      </c>
      <c r="K65" s="73" t="e">
        <f t="shared" si="10"/>
        <v>#DIV/0!</v>
      </c>
      <c r="M65" s="56"/>
      <c r="N65" s="57"/>
      <c r="O65" s="58" t="b">
        <f t="shared" si="0"/>
        <v>0</v>
      </c>
      <c r="T65" s="85">
        <f>$U$23+$B$38/100</f>
        <v>0</v>
      </c>
      <c r="U65" s="28" t="e">
        <f>$X$24</f>
        <v>#DIV/0!</v>
      </c>
    </row>
    <row r="66" spans="5:21" ht="15" x14ac:dyDescent="0.2">
      <c r="E66" s="72">
        <v>-4.4000000000000004</v>
      </c>
      <c r="F66" s="73" t="e">
        <f t="shared" si="6"/>
        <v>#DIV/0!</v>
      </c>
      <c r="G66" s="73" t="e">
        <f t="shared" si="7"/>
        <v>#DIV/0!</v>
      </c>
      <c r="H66" s="73" t="e">
        <f t="shared" si="8"/>
        <v>#DIV/0!</v>
      </c>
      <c r="I66" s="73" t="e">
        <f t="shared" si="5"/>
        <v>#DIV/0!</v>
      </c>
      <c r="J66" s="73" t="e">
        <f t="shared" si="9"/>
        <v>#DIV/0!</v>
      </c>
      <c r="K66" s="73" t="e">
        <f t="shared" si="10"/>
        <v>#DIV/0!</v>
      </c>
      <c r="M66" s="56"/>
      <c r="N66" s="57"/>
      <c r="O66" s="58" t="b">
        <f t="shared" si="0"/>
        <v>0</v>
      </c>
      <c r="T66" s="85">
        <f>$U$24-$B$38/100</f>
        <v>0</v>
      </c>
      <c r="U66" s="28" t="e">
        <f>$X$24</f>
        <v>#DIV/0!</v>
      </c>
    </row>
    <row r="67" spans="5:21" ht="15" x14ac:dyDescent="0.2">
      <c r="E67" s="72">
        <v>-4.2</v>
      </c>
      <c r="F67" s="73" t="e">
        <f t="shared" si="6"/>
        <v>#DIV/0!</v>
      </c>
      <c r="G67" s="73" t="e">
        <f t="shared" si="7"/>
        <v>#DIV/0!</v>
      </c>
      <c r="H67" s="73" t="e">
        <f t="shared" si="8"/>
        <v>#DIV/0!</v>
      </c>
      <c r="I67" s="73" t="e">
        <f t="shared" si="5"/>
        <v>#DIV/0!</v>
      </c>
      <c r="J67" s="73" t="e">
        <f t="shared" si="9"/>
        <v>#DIV/0!</v>
      </c>
      <c r="K67" s="73" t="e">
        <f t="shared" si="10"/>
        <v>#DIV/0!</v>
      </c>
      <c r="M67" s="56"/>
      <c r="N67" s="57"/>
      <c r="O67" s="58" t="b">
        <f t="shared" ref="O67:O130" si="11">IF($N67&gt;0,LN($N67+$B$26))</f>
        <v>0</v>
      </c>
      <c r="T67" s="85">
        <f>$U$24+$B$38/100</f>
        <v>0</v>
      </c>
      <c r="U67" s="28" t="e">
        <f>$X$25</f>
        <v>#DIV/0!</v>
      </c>
    </row>
    <row r="68" spans="5:21" ht="15" x14ac:dyDescent="0.2">
      <c r="E68" s="72">
        <v>-4</v>
      </c>
      <c r="F68" s="73" t="e">
        <f t="shared" si="6"/>
        <v>#DIV/0!</v>
      </c>
      <c r="G68" s="73" t="e">
        <f t="shared" si="7"/>
        <v>#DIV/0!</v>
      </c>
      <c r="H68" s="73" t="e">
        <f t="shared" si="8"/>
        <v>#DIV/0!</v>
      </c>
      <c r="I68" s="73" t="e">
        <f t="shared" si="5"/>
        <v>#DIV/0!</v>
      </c>
      <c r="J68" s="73" t="e">
        <f t="shared" si="9"/>
        <v>#DIV/0!</v>
      </c>
      <c r="K68" s="73" t="e">
        <f t="shared" si="10"/>
        <v>#DIV/0!</v>
      </c>
      <c r="M68" s="56"/>
      <c r="N68" s="57"/>
      <c r="O68" s="58" t="b">
        <f t="shared" si="11"/>
        <v>0</v>
      </c>
      <c r="T68" s="85">
        <f>$U$25-$B$38/100</f>
        <v>0</v>
      </c>
      <c r="U68" s="28" t="e">
        <f>$X$25</f>
        <v>#DIV/0!</v>
      </c>
    </row>
    <row r="69" spans="5:21" ht="15" x14ac:dyDescent="0.2">
      <c r="E69" s="72">
        <v>-3.8</v>
      </c>
      <c r="F69" s="73" t="e">
        <f t="shared" si="6"/>
        <v>#DIV/0!</v>
      </c>
      <c r="G69" s="73" t="e">
        <f t="shared" si="7"/>
        <v>#DIV/0!</v>
      </c>
      <c r="H69" s="73" t="e">
        <f t="shared" si="8"/>
        <v>#DIV/0!</v>
      </c>
      <c r="I69" s="73" t="e">
        <f t="shared" si="5"/>
        <v>#DIV/0!</v>
      </c>
      <c r="J69" s="73" t="e">
        <f t="shared" si="9"/>
        <v>#DIV/0!</v>
      </c>
      <c r="K69" s="73" t="e">
        <f t="shared" si="10"/>
        <v>#DIV/0!</v>
      </c>
      <c r="M69" s="56"/>
      <c r="N69" s="57"/>
      <c r="O69" s="58" t="b">
        <f t="shared" si="11"/>
        <v>0</v>
      </c>
      <c r="T69" s="85">
        <f>$U$25+$B$38/100</f>
        <v>0</v>
      </c>
      <c r="U69" s="28" t="e">
        <f>$X$26</f>
        <v>#DIV/0!</v>
      </c>
    </row>
    <row r="70" spans="5:21" ht="15" x14ac:dyDescent="0.2">
      <c r="E70" s="72">
        <v>-3.6</v>
      </c>
      <c r="F70" s="73" t="e">
        <f t="shared" si="6"/>
        <v>#DIV/0!</v>
      </c>
      <c r="G70" s="73" t="e">
        <f t="shared" si="7"/>
        <v>#DIV/0!</v>
      </c>
      <c r="H70" s="73" t="e">
        <f t="shared" si="8"/>
        <v>#DIV/0!</v>
      </c>
      <c r="I70" s="73" t="e">
        <f t="shared" si="5"/>
        <v>#DIV/0!</v>
      </c>
      <c r="J70" s="73" t="e">
        <f t="shared" si="9"/>
        <v>#DIV/0!</v>
      </c>
      <c r="K70" s="73" t="e">
        <f t="shared" si="10"/>
        <v>#DIV/0!</v>
      </c>
      <c r="M70" s="56"/>
      <c r="N70" s="57"/>
      <c r="O70" s="58" t="b">
        <f t="shared" si="11"/>
        <v>0</v>
      </c>
      <c r="T70" s="85">
        <f>$U$26-$B$38/100</f>
        <v>0</v>
      </c>
      <c r="U70" s="28" t="e">
        <f>$X$26</f>
        <v>#DIV/0!</v>
      </c>
    </row>
    <row r="71" spans="5:21" ht="15" x14ac:dyDescent="0.2">
      <c r="E71" s="72">
        <v>-3.4</v>
      </c>
      <c r="F71" s="73" t="e">
        <f t="shared" si="6"/>
        <v>#DIV/0!</v>
      </c>
      <c r="G71" s="73" t="e">
        <f t="shared" si="7"/>
        <v>#DIV/0!</v>
      </c>
      <c r="H71" s="73" t="e">
        <f t="shared" si="8"/>
        <v>#DIV/0!</v>
      </c>
      <c r="I71" s="73" t="e">
        <f t="shared" si="5"/>
        <v>#DIV/0!</v>
      </c>
      <c r="J71" s="73" t="e">
        <f t="shared" si="9"/>
        <v>#DIV/0!</v>
      </c>
      <c r="K71" s="73" t="e">
        <f t="shared" si="10"/>
        <v>#DIV/0!</v>
      </c>
      <c r="M71" s="56"/>
      <c r="N71" s="57"/>
      <c r="O71" s="58" t="b">
        <f t="shared" si="11"/>
        <v>0</v>
      </c>
      <c r="T71" s="85">
        <f>$U$26+$B$38/100</f>
        <v>0</v>
      </c>
      <c r="U71" s="28" t="e">
        <f>$X$27</f>
        <v>#DIV/0!</v>
      </c>
    </row>
    <row r="72" spans="5:21" ht="15" x14ac:dyDescent="0.2">
      <c r="E72" s="72">
        <v>-3.2</v>
      </c>
      <c r="F72" s="73" t="e">
        <f t="shared" si="6"/>
        <v>#DIV/0!</v>
      </c>
      <c r="G72" s="73" t="e">
        <f t="shared" si="7"/>
        <v>#DIV/0!</v>
      </c>
      <c r="H72" s="73" t="e">
        <f t="shared" si="8"/>
        <v>#DIV/0!</v>
      </c>
      <c r="I72" s="73" t="e">
        <f t="shared" si="5"/>
        <v>#DIV/0!</v>
      </c>
      <c r="J72" s="73" t="e">
        <f t="shared" si="9"/>
        <v>#DIV/0!</v>
      </c>
      <c r="K72" s="73" t="e">
        <f t="shared" si="10"/>
        <v>#DIV/0!</v>
      </c>
      <c r="M72" s="56"/>
      <c r="N72" s="57"/>
      <c r="O72" s="58" t="b">
        <f t="shared" si="11"/>
        <v>0</v>
      </c>
      <c r="T72" s="85">
        <f>$U$27-$B$38/100</f>
        <v>0</v>
      </c>
      <c r="U72" s="28" t="e">
        <f>$X$27</f>
        <v>#DIV/0!</v>
      </c>
    </row>
    <row r="73" spans="5:21" ht="15" x14ac:dyDescent="0.2">
      <c r="E73" s="72">
        <v>-3</v>
      </c>
      <c r="F73" s="73" t="e">
        <f t="shared" si="6"/>
        <v>#DIV/0!</v>
      </c>
      <c r="G73" s="73" t="e">
        <f t="shared" si="7"/>
        <v>#DIV/0!</v>
      </c>
      <c r="H73" s="73" t="e">
        <f t="shared" si="8"/>
        <v>#DIV/0!</v>
      </c>
      <c r="I73" s="73" t="e">
        <f t="shared" si="5"/>
        <v>#DIV/0!</v>
      </c>
      <c r="J73" s="73" t="e">
        <f t="shared" si="9"/>
        <v>#DIV/0!</v>
      </c>
      <c r="K73" s="73" t="e">
        <f t="shared" si="10"/>
        <v>#DIV/0!</v>
      </c>
      <c r="M73" s="56"/>
      <c r="N73" s="57"/>
      <c r="O73" s="58" t="b">
        <f t="shared" si="11"/>
        <v>0</v>
      </c>
      <c r="T73" s="85">
        <f>$U$27+$B$38/100</f>
        <v>0</v>
      </c>
      <c r="U73" s="28" t="e">
        <f>$X$28</f>
        <v>#DIV/0!</v>
      </c>
    </row>
    <row r="74" spans="5:21" ht="15" x14ac:dyDescent="0.2">
      <c r="E74" s="72">
        <v>-2.8</v>
      </c>
      <c r="F74" s="73" t="e">
        <f t="shared" si="6"/>
        <v>#DIV/0!</v>
      </c>
      <c r="G74" s="73" t="e">
        <f t="shared" si="7"/>
        <v>#DIV/0!</v>
      </c>
      <c r="H74" s="73" t="e">
        <f t="shared" si="8"/>
        <v>#DIV/0!</v>
      </c>
      <c r="I74" s="73" t="e">
        <f t="shared" si="5"/>
        <v>#DIV/0!</v>
      </c>
      <c r="J74" s="73" t="e">
        <f t="shared" si="9"/>
        <v>#DIV/0!</v>
      </c>
      <c r="K74" s="73" t="e">
        <f t="shared" si="10"/>
        <v>#DIV/0!</v>
      </c>
      <c r="M74" s="56"/>
      <c r="N74" s="57"/>
      <c r="O74" s="58" t="b">
        <f t="shared" si="11"/>
        <v>0</v>
      </c>
      <c r="T74" s="85">
        <f>$U$28-$B$38/100</f>
        <v>0</v>
      </c>
      <c r="U74" s="28" t="e">
        <f>$X$28</f>
        <v>#DIV/0!</v>
      </c>
    </row>
    <row r="75" spans="5:21" ht="15" x14ac:dyDescent="0.2">
      <c r="E75" s="72">
        <v>-2.6</v>
      </c>
      <c r="F75" s="73" t="e">
        <f t="shared" si="6"/>
        <v>#DIV/0!</v>
      </c>
      <c r="G75" s="73" t="e">
        <f t="shared" si="7"/>
        <v>#DIV/0!</v>
      </c>
      <c r="H75" s="73" t="e">
        <f t="shared" si="8"/>
        <v>#DIV/0!</v>
      </c>
      <c r="I75" s="73" t="e">
        <f t="shared" si="5"/>
        <v>#DIV/0!</v>
      </c>
      <c r="J75" s="73" t="e">
        <f t="shared" si="9"/>
        <v>#DIV/0!</v>
      </c>
      <c r="K75" s="73" t="e">
        <f t="shared" si="10"/>
        <v>#DIV/0!</v>
      </c>
      <c r="M75" s="56"/>
      <c r="N75" s="57"/>
      <c r="O75" s="58" t="b">
        <f t="shared" si="11"/>
        <v>0</v>
      </c>
      <c r="T75" s="85">
        <f>$U$28+$B$38/100</f>
        <v>0</v>
      </c>
      <c r="U75" s="28" t="e">
        <f>$X$29</f>
        <v>#DIV/0!</v>
      </c>
    </row>
    <row r="76" spans="5:21" ht="15" x14ac:dyDescent="0.2">
      <c r="E76" s="72">
        <v>-2.4</v>
      </c>
      <c r="F76" s="73" t="e">
        <f t="shared" si="6"/>
        <v>#DIV/0!</v>
      </c>
      <c r="G76" s="73" t="e">
        <f t="shared" si="7"/>
        <v>#DIV/0!</v>
      </c>
      <c r="H76" s="73" t="e">
        <f t="shared" si="8"/>
        <v>#DIV/0!</v>
      </c>
      <c r="I76" s="73" t="e">
        <f t="shared" si="5"/>
        <v>#DIV/0!</v>
      </c>
      <c r="J76" s="73" t="e">
        <f t="shared" si="9"/>
        <v>#DIV/0!</v>
      </c>
      <c r="K76" s="73" t="e">
        <f t="shared" si="10"/>
        <v>#DIV/0!</v>
      </c>
      <c r="M76" s="56"/>
      <c r="N76" s="57"/>
      <c r="O76" s="58" t="b">
        <f t="shared" si="11"/>
        <v>0</v>
      </c>
      <c r="T76" s="85">
        <f>$U$29-$B$38/100</f>
        <v>0</v>
      </c>
      <c r="U76" s="28" t="e">
        <f>$X$29</f>
        <v>#DIV/0!</v>
      </c>
    </row>
    <row r="77" spans="5:21" ht="15" x14ac:dyDescent="0.2">
      <c r="E77" s="72">
        <v>-2.2000000000000002</v>
      </c>
      <c r="F77" s="73" t="e">
        <f t="shared" si="6"/>
        <v>#DIV/0!</v>
      </c>
      <c r="G77" s="73" t="e">
        <f t="shared" si="7"/>
        <v>#DIV/0!</v>
      </c>
      <c r="H77" s="73" t="e">
        <f t="shared" si="8"/>
        <v>#DIV/0!</v>
      </c>
      <c r="I77" s="73" t="e">
        <f t="shared" si="5"/>
        <v>#DIV/0!</v>
      </c>
      <c r="J77" s="73" t="e">
        <f t="shared" si="9"/>
        <v>#DIV/0!</v>
      </c>
      <c r="K77" s="73" t="e">
        <f t="shared" si="10"/>
        <v>#DIV/0!</v>
      </c>
      <c r="L77" s="16"/>
      <c r="M77" s="56"/>
      <c r="N77" s="57"/>
      <c r="O77" s="58" t="b">
        <f t="shared" si="11"/>
        <v>0</v>
      </c>
      <c r="T77" s="85">
        <f>$U$29+$B$38/100</f>
        <v>0</v>
      </c>
      <c r="U77" s="28" t="e">
        <f>$X$30</f>
        <v>#DIV/0!</v>
      </c>
    </row>
    <row r="78" spans="5:21" ht="15" x14ac:dyDescent="0.2">
      <c r="E78" s="72">
        <v>-2</v>
      </c>
      <c r="F78" s="73" t="e">
        <f t="shared" si="6"/>
        <v>#DIV/0!</v>
      </c>
      <c r="G78" s="73" t="e">
        <f t="shared" si="7"/>
        <v>#DIV/0!</v>
      </c>
      <c r="H78" s="73" t="e">
        <f t="shared" si="8"/>
        <v>#DIV/0!</v>
      </c>
      <c r="I78" s="73" t="e">
        <f t="shared" si="5"/>
        <v>#DIV/0!</v>
      </c>
      <c r="J78" s="73" t="e">
        <f t="shared" si="9"/>
        <v>#DIV/0!</v>
      </c>
      <c r="K78" s="73" t="e">
        <f t="shared" si="10"/>
        <v>#DIV/0!</v>
      </c>
      <c r="L78" s="16"/>
      <c r="M78" s="56"/>
      <c r="N78" s="57"/>
      <c r="O78" s="58" t="b">
        <f t="shared" si="11"/>
        <v>0</v>
      </c>
      <c r="T78" s="85">
        <f>$U$30-$B$38/100</f>
        <v>0</v>
      </c>
      <c r="U78" s="28" t="e">
        <f>$X$30</f>
        <v>#DIV/0!</v>
      </c>
    </row>
    <row r="79" spans="5:21" ht="15" x14ac:dyDescent="0.2">
      <c r="E79" s="72">
        <v>-1.8</v>
      </c>
      <c r="F79" s="73" t="e">
        <f t="shared" si="6"/>
        <v>#DIV/0!</v>
      </c>
      <c r="G79" s="73" t="e">
        <f t="shared" si="7"/>
        <v>#DIV/0!</v>
      </c>
      <c r="H79" s="73" t="e">
        <f t="shared" si="8"/>
        <v>#DIV/0!</v>
      </c>
      <c r="I79" s="73" t="e">
        <f t="shared" si="5"/>
        <v>#DIV/0!</v>
      </c>
      <c r="J79" s="73" t="e">
        <f t="shared" si="9"/>
        <v>#DIV/0!</v>
      </c>
      <c r="K79" s="73" t="e">
        <f t="shared" si="10"/>
        <v>#DIV/0!</v>
      </c>
      <c r="L79" s="16"/>
      <c r="M79" s="56"/>
      <c r="N79" s="57"/>
      <c r="O79" s="58" t="b">
        <f t="shared" si="11"/>
        <v>0</v>
      </c>
      <c r="T79" s="85">
        <f>$U$30+$B$38/100</f>
        <v>0</v>
      </c>
      <c r="U79" s="28" t="e">
        <f>$X$31</f>
        <v>#DIV/0!</v>
      </c>
    </row>
    <row r="80" spans="5:21" ht="15" x14ac:dyDescent="0.2">
      <c r="E80" s="72">
        <v>-1.6</v>
      </c>
      <c r="F80" s="73" t="e">
        <f t="shared" si="6"/>
        <v>#DIV/0!</v>
      </c>
      <c r="G80" s="73" t="e">
        <f t="shared" si="7"/>
        <v>#DIV/0!</v>
      </c>
      <c r="H80" s="73" t="e">
        <f t="shared" si="8"/>
        <v>#DIV/0!</v>
      </c>
      <c r="I80" s="73" t="e">
        <f t="shared" si="5"/>
        <v>#DIV/0!</v>
      </c>
      <c r="J80" s="73" t="e">
        <f t="shared" si="9"/>
        <v>#DIV/0!</v>
      </c>
      <c r="K80" s="73" t="e">
        <f t="shared" si="10"/>
        <v>#DIV/0!</v>
      </c>
      <c r="L80" s="16"/>
      <c r="M80" s="56"/>
      <c r="N80" s="57"/>
      <c r="O80" s="58" t="b">
        <f t="shared" si="11"/>
        <v>0</v>
      </c>
      <c r="T80" s="85">
        <f>$U$31-$B$38/100</f>
        <v>0</v>
      </c>
      <c r="U80" s="28" t="e">
        <f>$X$31</f>
        <v>#DIV/0!</v>
      </c>
    </row>
    <row r="81" spans="5:21" ht="15" x14ac:dyDescent="0.2">
      <c r="E81" s="72">
        <v>-1.4</v>
      </c>
      <c r="F81" s="73" t="e">
        <f t="shared" si="6"/>
        <v>#DIV/0!</v>
      </c>
      <c r="G81" s="73" t="e">
        <f t="shared" si="7"/>
        <v>#DIV/0!</v>
      </c>
      <c r="H81" s="73" t="e">
        <f t="shared" si="8"/>
        <v>#DIV/0!</v>
      </c>
      <c r="I81" s="73" t="e">
        <f t="shared" si="5"/>
        <v>#DIV/0!</v>
      </c>
      <c r="J81" s="73" t="e">
        <f t="shared" si="9"/>
        <v>#DIV/0!</v>
      </c>
      <c r="K81" s="73" t="e">
        <f t="shared" si="10"/>
        <v>#DIV/0!</v>
      </c>
      <c r="L81" s="14"/>
      <c r="M81" s="56"/>
      <c r="N81" s="57"/>
      <c r="O81" s="58" t="b">
        <f t="shared" si="11"/>
        <v>0</v>
      </c>
      <c r="T81" s="85">
        <f>$U$31+$B$38/100</f>
        <v>0</v>
      </c>
      <c r="U81" s="28" t="e">
        <f>$X$32</f>
        <v>#DIV/0!</v>
      </c>
    </row>
    <row r="82" spans="5:21" ht="15" x14ac:dyDescent="0.2">
      <c r="E82" s="72">
        <v>-1.2</v>
      </c>
      <c r="F82" s="73" t="e">
        <f t="shared" si="6"/>
        <v>#DIV/0!</v>
      </c>
      <c r="G82" s="73" t="e">
        <f t="shared" si="7"/>
        <v>#DIV/0!</v>
      </c>
      <c r="H82" s="73" t="e">
        <f t="shared" si="8"/>
        <v>#DIV/0!</v>
      </c>
      <c r="I82" s="73" t="e">
        <f t="shared" si="5"/>
        <v>#DIV/0!</v>
      </c>
      <c r="J82" s="73" t="e">
        <f t="shared" si="9"/>
        <v>#DIV/0!</v>
      </c>
      <c r="K82" s="73" t="e">
        <f t="shared" si="10"/>
        <v>#DIV/0!</v>
      </c>
      <c r="L82" s="14"/>
      <c r="M82" s="56"/>
      <c r="N82" s="57"/>
      <c r="O82" s="58" t="b">
        <f t="shared" si="11"/>
        <v>0</v>
      </c>
      <c r="T82" s="85">
        <f>$U$32-$B$38/100</f>
        <v>0</v>
      </c>
      <c r="U82" s="28" t="e">
        <f>$X$32</f>
        <v>#DIV/0!</v>
      </c>
    </row>
    <row r="83" spans="5:21" ht="15" x14ac:dyDescent="0.2">
      <c r="E83" s="72">
        <v>-1</v>
      </c>
      <c r="F83" s="73" t="e">
        <f t="shared" si="6"/>
        <v>#DIV/0!</v>
      </c>
      <c r="G83" s="73" t="e">
        <f t="shared" si="7"/>
        <v>#DIV/0!</v>
      </c>
      <c r="H83" s="73" t="e">
        <f t="shared" si="8"/>
        <v>#DIV/0!</v>
      </c>
      <c r="I83" s="73" t="e">
        <f t="shared" si="5"/>
        <v>#DIV/0!</v>
      </c>
      <c r="J83" s="73" t="e">
        <f t="shared" si="9"/>
        <v>#DIV/0!</v>
      </c>
      <c r="K83" s="73" t="e">
        <f t="shared" si="10"/>
        <v>#DIV/0!</v>
      </c>
      <c r="L83" s="14"/>
      <c r="M83" s="56"/>
      <c r="N83" s="57"/>
      <c r="O83" s="58" t="b">
        <f t="shared" si="11"/>
        <v>0</v>
      </c>
      <c r="T83" s="85">
        <f>$U$32+$B$38/100</f>
        <v>0</v>
      </c>
      <c r="U83" s="28" t="e">
        <f>$X$33</f>
        <v>#DIV/0!</v>
      </c>
    </row>
    <row r="84" spans="5:21" ht="15" x14ac:dyDescent="0.2">
      <c r="E84" s="72">
        <v>-0.8</v>
      </c>
      <c r="F84" s="73" t="e">
        <f t="shared" si="6"/>
        <v>#DIV/0!</v>
      </c>
      <c r="G84" s="73" t="e">
        <f t="shared" si="7"/>
        <v>#DIV/0!</v>
      </c>
      <c r="H84" s="73" t="e">
        <f t="shared" si="8"/>
        <v>#DIV/0!</v>
      </c>
      <c r="I84" s="73" t="e">
        <f t="shared" si="5"/>
        <v>#DIV/0!</v>
      </c>
      <c r="J84" s="73" t="e">
        <f t="shared" si="9"/>
        <v>#DIV/0!</v>
      </c>
      <c r="K84" s="73" t="e">
        <f t="shared" si="10"/>
        <v>#DIV/0!</v>
      </c>
      <c r="M84" s="56"/>
      <c r="N84" s="57"/>
      <c r="O84" s="58" t="b">
        <f t="shared" si="11"/>
        <v>0</v>
      </c>
      <c r="T84" s="85">
        <f>$U$33-$B$38/100</f>
        <v>0</v>
      </c>
      <c r="U84" s="28" t="e">
        <f>$X$33</f>
        <v>#DIV/0!</v>
      </c>
    </row>
    <row r="85" spans="5:21" ht="15" x14ac:dyDescent="0.2">
      <c r="E85" s="72">
        <v>-0.6</v>
      </c>
      <c r="F85" s="73" t="e">
        <f t="shared" si="6"/>
        <v>#DIV/0!</v>
      </c>
      <c r="G85" s="73" t="e">
        <f t="shared" si="7"/>
        <v>#DIV/0!</v>
      </c>
      <c r="H85" s="73" t="e">
        <f t="shared" si="8"/>
        <v>#DIV/0!</v>
      </c>
      <c r="I85" s="73" t="e">
        <f t="shared" si="5"/>
        <v>#DIV/0!</v>
      </c>
      <c r="J85" s="73" t="e">
        <f t="shared" si="9"/>
        <v>#DIV/0!</v>
      </c>
      <c r="K85" s="73" t="e">
        <f t="shared" si="10"/>
        <v>#DIV/0!</v>
      </c>
      <c r="M85" s="56"/>
      <c r="N85" s="57"/>
      <c r="O85" s="58" t="b">
        <f t="shared" si="11"/>
        <v>0</v>
      </c>
      <c r="T85" s="85">
        <f>$U$33+$B$38/100</f>
        <v>0</v>
      </c>
      <c r="U85" s="28" t="e">
        <f>$X$34</f>
        <v>#DIV/0!</v>
      </c>
    </row>
    <row r="86" spans="5:21" ht="15" x14ac:dyDescent="0.2">
      <c r="E86" s="72">
        <v>-0.4</v>
      </c>
      <c r="F86" s="73" t="e">
        <f t="shared" si="6"/>
        <v>#DIV/0!</v>
      </c>
      <c r="G86" s="73" t="e">
        <f t="shared" si="7"/>
        <v>#DIV/0!</v>
      </c>
      <c r="H86" s="73" t="e">
        <f t="shared" si="8"/>
        <v>#DIV/0!</v>
      </c>
      <c r="I86" s="73" t="e">
        <f t="shared" si="5"/>
        <v>#DIV/0!</v>
      </c>
      <c r="J86" s="73" t="e">
        <f t="shared" si="9"/>
        <v>#DIV/0!</v>
      </c>
      <c r="K86" s="73" t="e">
        <f t="shared" si="10"/>
        <v>#DIV/0!</v>
      </c>
      <c r="M86" s="56"/>
      <c r="N86" s="57"/>
      <c r="O86" s="58" t="b">
        <f t="shared" si="11"/>
        <v>0</v>
      </c>
      <c r="T86" s="85">
        <f>$U$34-$B$38/100</f>
        <v>0</v>
      </c>
      <c r="U86" s="28" t="e">
        <f>$X$34</f>
        <v>#DIV/0!</v>
      </c>
    </row>
    <row r="87" spans="5:21" ht="15" x14ac:dyDescent="0.2">
      <c r="E87" s="72">
        <v>-0.2</v>
      </c>
      <c r="F87" s="73" t="e">
        <f t="shared" si="6"/>
        <v>#DIV/0!</v>
      </c>
      <c r="G87" s="73" t="e">
        <f t="shared" si="7"/>
        <v>#DIV/0!</v>
      </c>
      <c r="H87" s="73" t="e">
        <f t="shared" si="8"/>
        <v>#DIV/0!</v>
      </c>
      <c r="I87" s="73" t="e">
        <f t="shared" si="5"/>
        <v>#DIV/0!</v>
      </c>
      <c r="J87" s="73" t="e">
        <f t="shared" si="9"/>
        <v>#DIV/0!</v>
      </c>
      <c r="K87" s="73" t="e">
        <f t="shared" si="10"/>
        <v>#DIV/0!</v>
      </c>
      <c r="M87" s="56"/>
      <c r="N87" s="57"/>
      <c r="O87" s="58" t="b">
        <f t="shared" si="11"/>
        <v>0</v>
      </c>
      <c r="T87" s="85">
        <f>$U$34+$B$38/100</f>
        <v>0</v>
      </c>
      <c r="U87" s="28" t="e">
        <f>$X$35</f>
        <v>#DIV/0!</v>
      </c>
    </row>
    <row r="88" spans="5:21" ht="15" x14ac:dyDescent="0.2">
      <c r="E88" s="72">
        <v>0</v>
      </c>
      <c r="F88" s="73" t="e">
        <f t="shared" si="6"/>
        <v>#DIV/0!</v>
      </c>
      <c r="G88" s="73" t="e">
        <f t="shared" si="7"/>
        <v>#DIV/0!</v>
      </c>
      <c r="H88" s="73" t="e">
        <f t="shared" si="8"/>
        <v>#DIV/0!</v>
      </c>
      <c r="I88" s="73" t="e">
        <f t="shared" si="5"/>
        <v>#DIV/0!</v>
      </c>
      <c r="J88" s="73" t="e">
        <f t="shared" si="9"/>
        <v>#DIV/0!</v>
      </c>
      <c r="K88" s="73" t="e">
        <f t="shared" si="10"/>
        <v>#DIV/0!</v>
      </c>
      <c r="M88" s="56"/>
      <c r="N88" s="57"/>
      <c r="O88" s="58" t="b">
        <f t="shared" si="11"/>
        <v>0</v>
      </c>
      <c r="T88" s="85">
        <f>$U$35-$B$38/100</f>
        <v>0</v>
      </c>
      <c r="U88" s="28" t="e">
        <f>$X$35</f>
        <v>#DIV/0!</v>
      </c>
    </row>
    <row r="89" spans="5:21" ht="15" x14ac:dyDescent="0.2">
      <c r="E89" s="72">
        <v>0.2</v>
      </c>
      <c r="F89" s="73" t="e">
        <f t="shared" si="6"/>
        <v>#DIV/0!</v>
      </c>
      <c r="G89" s="73" t="e">
        <f t="shared" si="7"/>
        <v>#DIV/0!</v>
      </c>
      <c r="H89" s="73" t="e">
        <f t="shared" si="8"/>
        <v>#DIV/0!</v>
      </c>
      <c r="I89" s="73" t="e">
        <f t="shared" si="5"/>
        <v>#DIV/0!</v>
      </c>
      <c r="J89" s="73" t="e">
        <f t="shared" si="9"/>
        <v>#DIV/0!</v>
      </c>
      <c r="K89" s="73" t="e">
        <f t="shared" si="10"/>
        <v>#DIV/0!</v>
      </c>
      <c r="M89" s="56"/>
      <c r="N89" s="57"/>
      <c r="O89" s="58" t="b">
        <f t="shared" si="11"/>
        <v>0</v>
      </c>
      <c r="T89" s="85">
        <f>$U$35+$B$38/100</f>
        <v>0</v>
      </c>
      <c r="U89" s="28" t="e">
        <f>$X$36</f>
        <v>#DIV/0!</v>
      </c>
    </row>
    <row r="90" spans="5:21" ht="15" x14ac:dyDescent="0.2">
      <c r="E90" s="72">
        <v>0.4</v>
      </c>
      <c r="F90" s="73" t="e">
        <f t="shared" si="6"/>
        <v>#DIV/0!</v>
      </c>
      <c r="G90" s="73" t="e">
        <f t="shared" si="7"/>
        <v>#DIV/0!</v>
      </c>
      <c r="H90" s="73" t="e">
        <f t="shared" si="8"/>
        <v>#DIV/0!</v>
      </c>
      <c r="I90" s="73" t="e">
        <f t="shared" si="5"/>
        <v>#DIV/0!</v>
      </c>
      <c r="J90" s="73" t="e">
        <f t="shared" si="9"/>
        <v>#DIV/0!</v>
      </c>
      <c r="K90" s="73" t="e">
        <f t="shared" si="10"/>
        <v>#DIV/0!</v>
      </c>
      <c r="M90" s="56"/>
      <c r="N90" s="57"/>
      <c r="O90" s="58" t="b">
        <f t="shared" si="11"/>
        <v>0</v>
      </c>
      <c r="T90" s="85">
        <f>$U$36-$B$38/100</f>
        <v>0</v>
      </c>
      <c r="U90" s="28" t="e">
        <f>$X$36</f>
        <v>#DIV/0!</v>
      </c>
    </row>
    <row r="91" spans="5:21" ht="15" x14ac:dyDescent="0.2">
      <c r="E91" s="72">
        <v>0.6</v>
      </c>
      <c r="F91" s="73" t="e">
        <f t="shared" si="6"/>
        <v>#DIV/0!</v>
      </c>
      <c r="G91" s="73" t="e">
        <f t="shared" si="7"/>
        <v>#DIV/0!</v>
      </c>
      <c r="H91" s="73" t="e">
        <f t="shared" si="8"/>
        <v>#DIV/0!</v>
      </c>
      <c r="I91" s="73" t="e">
        <f t="shared" si="5"/>
        <v>#DIV/0!</v>
      </c>
      <c r="J91" s="73" t="e">
        <f t="shared" si="9"/>
        <v>#DIV/0!</v>
      </c>
      <c r="K91" s="73" t="e">
        <f t="shared" si="10"/>
        <v>#DIV/0!</v>
      </c>
      <c r="M91" s="56"/>
      <c r="N91" s="57"/>
      <c r="O91" s="58" t="b">
        <f t="shared" si="11"/>
        <v>0</v>
      </c>
      <c r="T91" s="85">
        <f>$U$36+$B$38/100</f>
        <v>0</v>
      </c>
      <c r="U91" s="28" t="e">
        <f>$X$37</f>
        <v>#DIV/0!</v>
      </c>
    </row>
    <row r="92" spans="5:21" ht="15" x14ac:dyDescent="0.2">
      <c r="E92" s="72">
        <v>0.80000000000001004</v>
      </c>
      <c r="F92" s="73" t="e">
        <f t="shared" si="6"/>
        <v>#DIV/0!</v>
      </c>
      <c r="G92" s="73" t="e">
        <f t="shared" si="7"/>
        <v>#DIV/0!</v>
      </c>
      <c r="H92" s="73" t="e">
        <f t="shared" si="8"/>
        <v>#DIV/0!</v>
      </c>
      <c r="I92" s="73" t="e">
        <f t="shared" si="5"/>
        <v>#DIV/0!</v>
      </c>
      <c r="J92" s="73" t="e">
        <f t="shared" si="9"/>
        <v>#DIV/0!</v>
      </c>
      <c r="K92" s="73" t="e">
        <f t="shared" si="10"/>
        <v>#DIV/0!</v>
      </c>
      <c r="M92" s="56"/>
      <c r="N92" s="57"/>
      <c r="O92" s="58" t="b">
        <f t="shared" si="11"/>
        <v>0</v>
      </c>
      <c r="T92" s="85">
        <f>$U$37-$B$38/100</f>
        <v>0</v>
      </c>
      <c r="U92" s="28" t="e">
        <f>$X$37</f>
        <v>#DIV/0!</v>
      </c>
    </row>
    <row r="93" spans="5:21" ht="15" x14ac:dyDescent="0.2">
      <c r="E93" s="72">
        <v>1.00000000000001</v>
      </c>
      <c r="F93" s="73" t="e">
        <f t="shared" si="6"/>
        <v>#DIV/0!</v>
      </c>
      <c r="G93" s="73" t="e">
        <f t="shared" si="7"/>
        <v>#DIV/0!</v>
      </c>
      <c r="H93" s="73" t="e">
        <f t="shared" si="8"/>
        <v>#DIV/0!</v>
      </c>
      <c r="I93" s="73" t="e">
        <f t="shared" si="5"/>
        <v>#DIV/0!</v>
      </c>
      <c r="J93" s="73" t="e">
        <f t="shared" si="9"/>
        <v>#DIV/0!</v>
      </c>
      <c r="K93" s="73" t="e">
        <f t="shared" si="10"/>
        <v>#DIV/0!</v>
      </c>
      <c r="M93" s="56"/>
      <c r="N93" s="57"/>
      <c r="O93" s="58" t="b">
        <f t="shared" si="11"/>
        <v>0</v>
      </c>
      <c r="T93" s="85">
        <f>$U$37+$B$38/100</f>
        <v>0</v>
      </c>
      <c r="U93" s="28" t="e">
        <f>$X$38</f>
        <v>#DIV/0!</v>
      </c>
    </row>
    <row r="94" spans="5:21" ht="15" x14ac:dyDescent="0.2">
      <c r="E94" s="72">
        <v>1.2000000000000099</v>
      </c>
      <c r="F94" s="73" t="e">
        <f t="shared" si="6"/>
        <v>#DIV/0!</v>
      </c>
      <c r="G94" s="73" t="e">
        <f t="shared" si="7"/>
        <v>#DIV/0!</v>
      </c>
      <c r="H94" s="73" t="e">
        <f t="shared" si="8"/>
        <v>#DIV/0!</v>
      </c>
      <c r="I94" s="73" t="e">
        <f t="shared" si="5"/>
        <v>#DIV/0!</v>
      </c>
      <c r="J94" s="73" t="e">
        <f t="shared" si="9"/>
        <v>#DIV/0!</v>
      </c>
      <c r="K94" s="73" t="e">
        <f t="shared" si="10"/>
        <v>#DIV/0!</v>
      </c>
      <c r="M94" s="56"/>
      <c r="N94" s="57"/>
      <c r="O94" s="58" t="b">
        <f t="shared" si="11"/>
        <v>0</v>
      </c>
      <c r="T94" s="85">
        <f>$U$38-$B$38/100</f>
        <v>0</v>
      </c>
      <c r="U94" s="28" t="e">
        <f>$X$38</f>
        <v>#DIV/0!</v>
      </c>
    </row>
    <row r="95" spans="5:21" ht="15" x14ac:dyDescent="0.2">
      <c r="E95" s="72">
        <v>1.4000000000000099</v>
      </c>
      <c r="F95" s="73" t="e">
        <f t="shared" si="6"/>
        <v>#DIV/0!</v>
      </c>
      <c r="G95" s="73" t="e">
        <f t="shared" si="7"/>
        <v>#DIV/0!</v>
      </c>
      <c r="H95" s="73" t="e">
        <f t="shared" si="8"/>
        <v>#DIV/0!</v>
      </c>
      <c r="I95" s="73" t="e">
        <f t="shared" si="5"/>
        <v>#DIV/0!</v>
      </c>
      <c r="J95" s="73" t="e">
        <f t="shared" si="9"/>
        <v>#DIV/0!</v>
      </c>
      <c r="K95" s="73" t="e">
        <f t="shared" si="10"/>
        <v>#DIV/0!</v>
      </c>
      <c r="M95" s="56"/>
      <c r="N95" s="57"/>
      <c r="O95" s="58" t="b">
        <f t="shared" si="11"/>
        <v>0</v>
      </c>
      <c r="T95" s="85">
        <f>$U$38+$B$38/100</f>
        <v>0</v>
      </c>
      <c r="U95" s="28" t="e">
        <f>$X$39</f>
        <v>#DIV/0!</v>
      </c>
    </row>
    <row r="96" spans="5:21" ht="15" x14ac:dyDescent="0.2">
      <c r="E96" s="72">
        <v>1.6000000000000101</v>
      </c>
      <c r="F96" s="73" t="e">
        <f t="shared" si="6"/>
        <v>#DIV/0!</v>
      </c>
      <c r="G96" s="73" t="e">
        <f t="shared" si="7"/>
        <v>#DIV/0!</v>
      </c>
      <c r="H96" s="73" t="e">
        <f t="shared" si="8"/>
        <v>#DIV/0!</v>
      </c>
      <c r="I96" s="73" t="e">
        <f t="shared" si="5"/>
        <v>#DIV/0!</v>
      </c>
      <c r="J96" s="73" t="e">
        <f t="shared" si="9"/>
        <v>#DIV/0!</v>
      </c>
      <c r="K96" s="73" t="e">
        <f t="shared" si="10"/>
        <v>#DIV/0!</v>
      </c>
      <c r="M96" s="56"/>
      <c r="N96" s="57"/>
      <c r="O96" s="58" t="b">
        <f t="shared" si="11"/>
        <v>0</v>
      </c>
      <c r="T96" s="85">
        <f>$U$39-$B$38/100</f>
        <v>0</v>
      </c>
      <c r="U96" s="28" t="e">
        <f>$X$39</f>
        <v>#DIV/0!</v>
      </c>
    </row>
    <row r="97" spans="5:21" ht="15" x14ac:dyDescent="0.2">
      <c r="E97" s="72">
        <v>1.80000000000001</v>
      </c>
      <c r="F97" s="73" t="e">
        <f t="shared" si="6"/>
        <v>#DIV/0!</v>
      </c>
      <c r="G97" s="73" t="e">
        <f t="shared" si="7"/>
        <v>#DIV/0!</v>
      </c>
      <c r="H97" s="73" t="e">
        <f t="shared" si="8"/>
        <v>#DIV/0!</v>
      </c>
      <c r="I97" s="73" t="e">
        <f t="shared" si="5"/>
        <v>#DIV/0!</v>
      </c>
      <c r="J97" s="73" t="e">
        <f t="shared" si="9"/>
        <v>#DIV/0!</v>
      </c>
      <c r="K97" s="73" t="e">
        <f t="shared" si="10"/>
        <v>#DIV/0!</v>
      </c>
      <c r="M97" s="56"/>
      <c r="N97" s="57"/>
      <c r="O97" s="58" t="b">
        <f t="shared" si="11"/>
        <v>0</v>
      </c>
      <c r="T97" s="85">
        <f>$U$39+$B$38/100</f>
        <v>0</v>
      </c>
      <c r="U97" s="28" t="e">
        <f>$X$40</f>
        <v>#DIV/0!</v>
      </c>
    </row>
    <row r="98" spans="5:21" ht="15" x14ac:dyDescent="0.2">
      <c r="E98" s="72">
        <v>2.0000000000000102</v>
      </c>
      <c r="F98" s="73" t="e">
        <f t="shared" si="6"/>
        <v>#DIV/0!</v>
      </c>
      <c r="G98" s="73" t="e">
        <f t="shared" si="7"/>
        <v>#DIV/0!</v>
      </c>
      <c r="H98" s="73" t="e">
        <f t="shared" si="8"/>
        <v>#DIV/0!</v>
      </c>
      <c r="I98" s="73" t="e">
        <f t="shared" si="5"/>
        <v>#DIV/0!</v>
      </c>
      <c r="J98" s="73" t="e">
        <f t="shared" si="9"/>
        <v>#DIV/0!</v>
      </c>
      <c r="K98" s="73" t="e">
        <f t="shared" si="10"/>
        <v>#DIV/0!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 t="e">
        <f t="shared" si="6"/>
        <v>#DIV/0!</v>
      </c>
      <c r="G99" s="73" t="e">
        <f t="shared" si="7"/>
        <v>#DIV/0!</v>
      </c>
      <c r="H99" s="73" t="e">
        <f t="shared" si="8"/>
        <v>#DIV/0!</v>
      </c>
      <c r="I99" s="73" t="e">
        <f t="shared" si="5"/>
        <v>#DIV/0!</v>
      </c>
      <c r="J99" s="73" t="e">
        <f t="shared" si="9"/>
        <v>#DIV/0!</v>
      </c>
      <c r="K99" s="73" t="e">
        <f t="shared" si="10"/>
        <v>#DIV/0!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 t="e">
        <f t="shared" si="6"/>
        <v>#DIV/0!</v>
      </c>
      <c r="G100" s="73" t="e">
        <f t="shared" si="7"/>
        <v>#DIV/0!</v>
      </c>
      <c r="H100" s="73" t="e">
        <f t="shared" si="8"/>
        <v>#DIV/0!</v>
      </c>
      <c r="I100" s="73" t="e">
        <f t="shared" si="5"/>
        <v>#DIV/0!</v>
      </c>
      <c r="J100" s="73" t="e">
        <f t="shared" si="9"/>
        <v>#DIV/0!</v>
      </c>
      <c r="K100" s="73" t="e">
        <f t="shared" si="10"/>
        <v>#DIV/0!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 t="e">
        <f t="shared" si="6"/>
        <v>#DIV/0!</v>
      </c>
      <c r="G101" s="73" t="e">
        <f t="shared" si="7"/>
        <v>#DIV/0!</v>
      </c>
      <c r="H101" s="73" t="e">
        <f t="shared" si="8"/>
        <v>#DIV/0!</v>
      </c>
      <c r="I101" s="73" t="e">
        <f t="shared" si="5"/>
        <v>#DIV/0!</v>
      </c>
      <c r="J101" s="73" t="e">
        <f t="shared" si="9"/>
        <v>#DIV/0!</v>
      </c>
      <c r="K101" s="73" t="e">
        <f t="shared" si="10"/>
        <v>#DIV/0!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 t="e">
        <f t="shared" si="6"/>
        <v>#DIV/0!</v>
      </c>
      <c r="G102" s="73" t="e">
        <f t="shared" si="7"/>
        <v>#DIV/0!</v>
      </c>
      <c r="H102" s="73" t="e">
        <f t="shared" si="8"/>
        <v>#DIV/0!</v>
      </c>
      <c r="I102" s="73" t="e">
        <f t="shared" si="5"/>
        <v>#DIV/0!</v>
      </c>
      <c r="J102" s="73" t="e">
        <f t="shared" si="9"/>
        <v>#DIV/0!</v>
      </c>
      <c r="K102" s="73" t="e">
        <f t="shared" si="10"/>
        <v>#DIV/0!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 t="e">
        <f t="shared" si="6"/>
        <v>#DIV/0!</v>
      </c>
      <c r="G103" s="73" t="e">
        <f t="shared" si="7"/>
        <v>#DIV/0!</v>
      </c>
      <c r="H103" s="73" t="e">
        <f t="shared" si="8"/>
        <v>#DIV/0!</v>
      </c>
      <c r="I103" s="73" t="e">
        <f t="shared" si="5"/>
        <v>#DIV/0!</v>
      </c>
      <c r="J103" s="73" t="e">
        <f t="shared" si="9"/>
        <v>#DIV/0!</v>
      </c>
      <c r="K103" s="73" t="e">
        <f t="shared" si="10"/>
        <v>#DIV/0!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 t="e">
        <f t="shared" si="6"/>
        <v>#DIV/0!</v>
      </c>
      <c r="G104" s="73" t="e">
        <f t="shared" si="7"/>
        <v>#DIV/0!</v>
      </c>
      <c r="H104" s="73" t="e">
        <f t="shared" si="8"/>
        <v>#DIV/0!</v>
      </c>
      <c r="I104" s="73" t="e">
        <f t="shared" si="5"/>
        <v>#DIV/0!</v>
      </c>
      <c r="J104" s="73" t="e">
        <f t="shared" si="9"/>
        <v>#DIV/0!</v>
      </c>
      <c r="K104" s="73" t="e">
        <f t="shared" si="10"/>
        <v>#DIV/0!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 t="e">
        <f t="shared" si="6"/>
        <v>#DIV/0!</v>
      </c>
      <c r="G105" s="73" t="e">
        <f t="shared" si="7"/>
        <v>#DIV/0!</v>
      </c>
      <c r="H105" s="73" t="e">
        <f t="shared" si="8"/>
        <v>#DIV/0!</v>
      </c>
      <c r="I105" s="73" t="e">
        <f t="shared" si="5"/>
        <v>#DIV/0!</v>
      </c>
      <c r="J105" s="73" t="e">
        <f t="shared" si="9"/>
        <v>#DIV/0!</v>
      </c>
      <c r="K105" s="73" t="e">
        <f t="shared" si="10"/>
        <v>#DIV/0!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 t="e">
        <f t="shared" si="6"/>
        <v>#DIV/0!</v>
      </c>
      <c r="G106" s="73" t="e">
        <f t="shared" si="7"/>
        <v>#DIV/0!</v>
      </c>
      <c r="H106" s="73" t="e">
        <f t="shared" si="8"/>
        <v>#DIV/0!</v>
      </c>
      <c r="I106" s="73" t="e">
        <f t="shared" si="5"/>
        <v>#DIV/0!</v>
      </c>
      <c r="J106" s="73" t="e">
        <f t="shared" si="9"/>
        <v>#DIV/0!</v>
      </c>
      <c r="K106" s="73" t="e">
        <f t="shared" si="10"/>
        <v>#DIV/0!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 t="e">
        <f t="shared" si="6"/>
        <v>#DIV/0!</v>
      </c>
      <c r="G107" s="73" t="e">
        <f t="shared" si="7"/>
        <v>#DIV/0!</v>
      </c>
      <c r="H107" s="73" t="e">
        <f t="shared" si="8"/>
        <v>#DIV/0!</v>
      </c>
      <c r="I107" s="73" t="e">
        <f t="shared" si="5"/>
        <v>#DIV/0!</v>
      </c>
      <c r="J107" s="73" t="e">
        <f t="shared" si="9"/>
        <v>#DIV/0!</v>
      </c>
      <c r="K107" s="73" t="e">
        <f t="shared" si="10"/>
        <v>#DIV/0!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 t="e">
        <f t="shared" si="6"/>
        <v>#DIV/0!</v>
      </c>
      <c r="G108" s="73" t="e">
        <f t="shared" si="7"/>
        <v>#DIV/0!</v>
      </c>
      <c r="H108" s="73" t="e">
        <f t="shared" si="8"/>
        <v>#DIV/0!</v>
      </c>
      <c r="I108" s="73" t="e">
        <f t="shared" si="5"/>
        <v>#DIV/0!</v>
      </c>
      <c r="J108" s="73" t="e">
        <f t="shared" si="9"/>
        <v>#DIV/0!</v>
      </c>
      <c r="K108" s="73" t="e">
        <f t="shared" si="10"/>
        <v>#DIV/0!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 t="e">
        <f t="shared" si="6"/>
        <v>#DIV/0!</v>
      </c>
      <c r="G109" s="73" t="e">
        <f t="shared" si="7"/>
        <v>#DIV/0!</v>
      </c>
      <c r="H109" s="73" t="e">
        <f t="shared" si="8"/>
        <v>#DIV/0!</v>
      </c>
      <c r="I109" s="73" t="e">
        <f t="shared" si="5"/>
        <v>#DIV/0!</v>
      </c>
      <c r="J109" s="73" t="e">
        <f t="shared" si="9"/>
        <v>#DIV/0!</v>
      </c>
      <c r="K109" s="73" t="e">
        <f t="shared" si="10"/>
        <v>#DIV/0!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 t="e">
        <f t="shared" si="6"/>
        <v>#DIV/0!</v>
      </c>
      <c r="G110" s="73" t="e">
        <f t="shared" si="7"/>
        <v>#DIV/0!</v>
      </c>
      <c r="H110" s="73" t="e">
        <f t="shared" si="8"/>
        <v>#DIV/0!</v>
      </c>
      <c r="I110" s="73" t="e">
        <f t="shared" si="5"/>
        <v>#DIV/0!</v>
      </c>
      <c r="J110" s="73" t="e">
        <f t="shared" si="9"/>
        <v>#DIV/0!</v>
      </c>
      <c r="K110" s="73" t="e">
        <f t="shared" si="10"/>
        <v>#DIV/0!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 t="e">
        <f t="shared" si="6"/>
        <v>#DIV/0!</v>
      </c>
      <c r="G111" s="73" t="e">
        <f t="shared" si="7"/>
        <v>#DIV/0!</v>
      </c>
      <c r="H111" s="73" t="e">
        <f t="shared" si="8"/>
        <v>#DIV/0!</v>
      </c>
      <c r="I111" s="73" t="e">
        <f t="shared" si="5"/>
        <v>#DIV/0!</v>
      </c>
      <c r="J111" s="73" t="e">
        <f t="shared" si="9"/>
        <v>#DIV/0!</v>
      </c>
      <c r="K111" s="73" t="e">
        <f t="shared" si="10"/>
        <v>#DIV/0!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 t="e">
        <f t="shared" si="6"/>
        <v>#DIV/0!</v>
      </c>
      <c r="G112" s="73" t="e">
        <f t="shared" si="7"/>
        <v>#DIV/0!</v>
      </c>
      <c r="H112" s="73" t="e">
        <f t="shared" si="8"/>
        <v>#DIV/0!</v>
      </c>
      <c r="I112" s="73" t="e">
        <f t="shared" si="5"/>
        <v>#DIV/0!</v>
      </c>
      <c r="J112" s="73" t="e">
        <f t="shared" si="9"/>
        <v>#DIV/0!</v>
      </c>
      <c r="K112" s="73" t="e">
        <f t="shared" si="10"/>
        <v>#DIV/0!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 t="e">
        <f t="shared" si="6"/>
        <v>#DIV/0!</v>
      </c>
      <c r="G113" s="73" t="e">
        <f t="shared" si="7"/>
        <v>#DIV/0!</v>
      </c>
      <c r="H113" s="73" t="e">
        <f t="shared" si="8"/>
        <v>#DIV/0!</v>
      </c>
      <c r="I113" s="73" t="e">
        <f t="shared" si="5"/>
        <v>#DIV/0!</v>
      </c>
      <c r="J113" s="73" t="e">
        <f t="shared" si="9"/>
        <v>#DIV/0!</v>
      </c>
      <c r="K113" s="73" t="e">
        <f t="shared" si="10"/>
        <v>#DIV/0!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 t="e">
        <f>CORREL($N$3:$N$252,$M$3:$M$252)</f>
        <v>#DIV/0!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 t="e">
        <f>INTERCEPT($N$3:$N$252,$M$3:$M$252)</f>
        <v>#DIV/0!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 t="e">
        <f>SLOPE($N$3:$N$252,$M$3:$M$252)</f>
        <v>#DIV/0!</v>
      </c>
      <c r="H120" s="69" t="s">
        <v>50</v>
      </c>
      <c r="I120" s="79" t="b">
        <f>IF($B$9&gt;3,INDEX(XX!$C$4:$C$150,$B$9))</f>
        <v>0</v>
      </c>
      <c r="J120" s="79" t="b">
        <f>IF($B$9&gt;3,INDEX(XX!$D$4:$D$150,$B$9))</f>
        <v>0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 t="e">
        <f>IF((ABS($G$118)&gt;$I$120)*AND(ABS($G$118)&lt;$J$120),G$119+G$120*G122,0)</f>
        <v>#DIV/0!</v>
      </c>
      <c r="J122" s="79" t="e">
        <f>IF((ABS($G$118)&gt;$J$120),G$119+G$120*G122,0)</f>
        <v>#DIV/0!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0</v>
      </c>
      <c r="H123" s="11"/>
      <c r="I123" s="79" t="e">
        <f>IF((ABS($G$118)&gt;$I$120)*AND(ABS($G$118)&lt;$J$120),G$119+G$120*G123,0)</f>
        <v>#DIV/0!</v>
      </c>
      <c r="J123" s="79" t="e">
        <f>IF((ABS($G$118)&gt;$J$120),G$119+G$120*G123,0)</f>
        <v>#DIV/0!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7" sqref="M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130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35807</v>
      </c>
      <c r="N3" s="57">
        <v>3.0000000000000001E-3</v>
      </c>
      <c r="O3" s="58">
        <f t="shared" ref="O3:O66" si="0">IF($N3&gt;0,LN($N3+$B$26))</f>
        <v>-4.3428059215206005</v>
      </c>
      <c r="T3" s="69" t="s">
        <v>109</v>
      </c>
      <c r="U3" s="82">
        <f>$B$21</f>
        <v>6.8665197889033747E-2</v>
      </c>
      <c r="V3" s="82">
        <f t="shared" ref="V3:V10" si="1">U3</f>
        <v>6.8665197889033747E-2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35892</v>
      </c>
      <c r="N4" s="57">
        <v>3.0000000000000001E-3</v>
      </c>
      <c r="O4" s="58">
        <f t="shared" si="0"/>
        <v>-4.3428059215206005</v>
      </c>
      <c r="T4" s="69" t="s">
        <v>111</v>
      </c>
      <c r="U4" s="82">
        <f>$B$31</f>
        <v>4.048299565203315E-2</v>
      </c>
      <c r="V4" s="82">
        <f t="shared" si="1"/>
        <v>4.048299565203315E-2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35991</v>
      </c>
      <c r="N5" s="57">
        <v>3.0000000000000001E-3</v>
      </c>
      <c r="O5" s="58">
        <f t="shared" si="0"/>
        <v>-4.3428059215206005</v>
      </c>
      <c r="T5" s="69" t="s">
        <v>110</v>
      </c>
      <c r="U5" s="82">
        <f>$B$22</f>
        <v>7.8417356388453249E-2</v>
      </c>
      <c r="V5" s="82">
        <f t="shared" si="1"/>
        <v>7.8417356388453249E-2</v>
      </c>
    </row>
    <row r="6" spans="1:24" ht="15" customHeight="1" x14ac:dyDescent="0.25">
      <c r="A6" s="107" t="s">
        <v>18</v>
      </c>
      <c r="B6" s="116">
        <v>0.01</v>
      </c>
      <c r="C6" s="18"/>
      <c r="M6" s="56">
        <v>36088</v>
      </c>
      <c r="N6" s="57">
        <v>0.01</v>
      </c>
      <c r="O6" s="58">
        <f t="shared" si="0"/>
        <v>-3.912023005428146</v>
      </c>
      <c r="T6" s="69" t="s">
        <v>29</v>
      </c>
      <c r="U6" s="82">
        <f>$B$32</f>
        <v>5.201122593335239E-2</v>
      </c>
      <c r="V6" s="82">
        <f t="shared" si="1"/>
        <v>5.201122593335239E-2</v>
      </c>
    </row>
    <row r="7" spans="1:24" ht="15" customHeight="1" x14ac:dyDescent="0.2">
      <c r="D7" s="4"/>
      <c r="F7" s="5"/>
      <c r="M7" s="56">
        <v>36174</v>
      </c>
      <c r="N7" s="57">
        <v>0.21</v>
      </c>
      <c r="O7" s="58">
        <f t="shared" si="0"/>
        <v>-1.5141277326297755</v>
      </c>
      <c r="T7" s="69" t="s">
        <v>31</v>
      </c>
      <c r="U7" s="82">
        <f>$C$21</f>
        <v>-3.5672792825742636E-2</v>
      </c>
      <c r="V7" s="82">
        <f t="shared" si="1"/>
        <v>-3.5672792825742636E-2</v>
      </c>
    </row>
    <row r="8" spans="1:24" ht="15" customHeight="1" x14ac:dyDescent="0.25">
      <c r="A8" s="140" t="s">
        <v>12</v>
      </c>
      <c r="B8" s="140"/>
      <c r="C8" s="140"/>
      <c r="D8" s="4"/>
      <c r="M8" s="56">
        <v>36262</v>
      </c>
      <c r="N8" s="57">
        <v>1E-3</v>
      </c>
      <c r="O8" s="58">
        <f t="shared" si="0"/>
        <v>-4.5098600061837661</v>
      </c>
      <c r="T8" s="69" t="s">
        <v>32</v>
      </c>
      <c r="U8" s="82">
        <f>$C$31</f>
        <v>-4.799382042800123</v>
      </c>
      <c r="V8" s="82">
        <f t="shared" si="1"/>
        <v>-4.799382042800123</v>
      </c>
    </row>
    <row r="9" spans="1:24" ht="15" customHeight="1" x14ac:dyDescent="0.2">
      <c r="A9" s="101" t="s">
        <v>11</v>
      </c>
      <c r="B9" s="59">
        <f>COUNT($M$3:$M252)</f>
        <v>79</v>
      </c>
      <c r="C9" s="60"/>
      <c r="D9" s="4"/>
      <c r="M9" s="56">
        <v>36354</v>
      </c>
      <c r="N9" s="57">
        <v>0.01</v>
      </c>
      <c r="O9" s="58">
        <f t="shared" si="0"/>
        <v>-3.912023005428146</v>
      </c>
      <c r="T9" s="69" t="s">
        <v>112</v>
      </c>
      <c r="U9" s="82">
        <f>$C$22</f>
        <v>-4.5424951325162125E-2</v>
      </c>
      <c r="V9" s="82">
        <f t="shared" si="1"/>
        <v>-4.5424951325162125E-2</v>
      </c>
    </row>
    <row r="10" spans="1:24" ht="15" customHeight="1" x14ac:dyDescent="0.2">
      <c r="A10" s="102" t="s">
        <v>7</v>
      </c>
      <c r="B10" s="61">
        <f>MIN($N$3:$N$252)</f>
        <v>1E-3</v>
      </c>
      <c r="C10" s="60"/>
      <c r="D10" s="4"/>
      <c r="M10" s="56">
        <v>36440</v>
      </c>
      <c r="N10" s="57">
        <v>0.01</v>
      </c>
      <c r="O10" s="58">
        <f t="shared" si="0"/>
        <v>-3.912023005428146</v>
      </c>
      <c r="T10" s="69" t="s">
        <v>113</v>
      </c>
      <c r="U10" s="82">
        <f>$C$32</f>
        <v>-4.9836772113225454</v>
      </c>
      <c r="V10" s="82">
        <f t="shared" si="1"/>
        <v>-4.9836772113225454</v>
      </c>
    </row>
    <row r="11" spans="1:24" ht="15" customHeight="1" x14ac:dyDescent="0.2">
      <c r="A11" s="102" t="s">
        <v>8</v>
      </c>
      <c r="B11" s="61">
        <f>MAX($N$3:$N$252)</f>
        <v>0.21</v>
      </c>
      <c r="C11" s="60"/>
      <c r="D11" s="4"/>
      <c r="M11" s="56">
        <v>36585</v>
      </c>
      <c r="N11" s="57">
        <v>1.4E-2</v>
      </c>
      <c r="O11" s="58">
        <f t="shared" si="0"/>
        <v>-3.7297014486341915</v>
      </c>
      <c r="T11" s="69" t="s">
        <v>68</v>
      </c>
      <c r="U11" s="82">
        <f>$B$12</f>
        <v>0.01</v>
      </c>
      <c r="V11" s="82">
        <f>U11</f>
        <v>0.01</v>
      </c>
    </row>
    <row r="12" spans="1:24" ht="15" customHeight="1" x14ac:dyDescent="0.2">
      <c r="A12" s="102" t="s">
        <v>68</v>
      </c>
      <c r="B12" s="62">
        <f>MEDIAN($N$3:$N$252)</f>
        <v>0.01</v>
      </c>
      <c r="C12" s="50"/>
      <c r="D12" s="4"/>
      <c r="M12" s="56">
        <v>36628</v>
      </c>
      <c r="N12" s="57">
        <v>1.4999999999999999E-2</v>
      </c>
      <c r="O12" s="58">
        <f t="shared" si="0"/>
        <v>-3.6888794541139363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36710</v>
      </c>
      <c r="N13" s="57">
        <v>0.05</v>
      </c>
      <c r="O13" s="58">
        <f t="shared" si="0"/>
        <v>-2.8134107167600364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36806</v>
      </c>
      <c r="N14" s="57">
        <v>0.01</v>
      </c>
      <c r="O14" s="58">
        <f t="shared" si="0"/>
        <v>-3.912023005428146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36899</v>
      </c>
      <c r="N15" s="57">
        <v>4.0000000000000001E-3</v>
      </c>
      <c r="O15" s="58">
        <f t="shared" si="0"/>
        <v>-4.2686979493668789</v>
      </c>
      <c r="T15" s="69">
        <v>1</v>
      </c>
      <c r="U15" s="77">
        <f t="shared" ref="U15:U39" si="3">$B$36+T15*$B$38</f>
        <v>8.8199999999999997E-3</v>
      </c>
      <c r="V15" s="84">
        <f>FREQUENCY($N$3:$N$252,$U$15:$U$39)</f>
        <v>26</v>
      </c>
      <c r="W15" s="79">
        <f t="shared" ref="W15:W39" si="4">(U15+U14)/2</f>
        <v>4.4099999999999999E-3</v>
      </c>
      <c r="X15" s="80">
        <f t="shared" si="2"/>
        <v>37.314503860615979</v>
      </c>
    </row>
    <row r="16" spans="1:24" ht="15" customHeight="1" x14ac:dyDescent="0.2">
      <c r="A16" s="101" t="s">
        <v>73</v>
      </c>
      <c r="B16" s="63">
        <f>AVERAGE($N$3:$N$252)</f>
        <v>1.6496202531645559E-2</v>
      </c>
      <c r="C16" s="60"/>
      <c r="M16" s="56">
        <v>36952</v>
      </c>
      <c r="N16" s="57">
        <v>9.0999999999999998E-2</v>
      </c>
      <c r="O16" s="58">
        <f t="shared" si="0"/>
        <v>-2.2926347621408776</v>
      </c>
      <c r="T16" s="69">
        <v>2</v>
      </c>
      <c r="U16" s="77">
        <f t="shared" si="3"/>
        <v>1.7639999999999999E-2</v>
      </c>
      <c r="V16" s="84">
        <f t="array" ref="V16:V40">FREQUENCY($N$3:$N$252,$U$15:$U$39)</f>
        <v>26</v>
      </c>
      <c r="W16" s="79">
        <f t="shared" si="4"/>
        <v>1.3229999999999999E-2</v>
      </c>
      <c r="X16" s="80">
        <f t="shared" si="2"/>
        <v>37.314503860615979</v>
      </c>
    </row>
    <row r="17" spans="1:24" ht="15" customHeight="1" x14ac:dyDescent="0.2">
      <c r="A17" s="102" t="s">
        <v>75</v>
      </c>
      <c r="B17" s="62">
        <f>STDEV($N$3:$N$252)</f>
        <v>2.6617323465579257E-2</v>
      </c>
      <c r="C17" s="60"/>
      <c r="D17" s="4"/>
      <c r="M17" s="56">
        <v>37053</v>
      </c>
      <c r="N17" s="57">
        <v>3.0000000000000001E-3</v>
      </c>
      <c r="O17" s="58">
        <f t="shared" si="0"/>
        <v>-4.3428059215206005</v>
      </c>
      <c r="T17" s="69">
        <v>3</v>
      </c>
      <c r="U17" s="77">
        <f t="shared" si="3"/>
        <v>2.6459999999999997E-2</v>
      </c>
      <c r="V17" s="84">
        <v>36</v>
      </c>
      <c r="W17" s="79">
        <f t="shared" si="4"/>
        <v>2.205E-2</v>
      </c>
      <c r="X17" s="80">
        <f t="shared" si="2"/>
        <v>51.666236114699046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0.25578294111436506</v>
      </c>
      <c r="C18" s="114" t="s">
        <v>45</v>
      </c>
      <c r="D18" s="4"/>
      <c r="J18" s="6"/>
      <c r="M18" s="56">
        <v>37140</v>
      </c>
      <c r="N18" s="57">
        <v>5.0000000000000001E-3</v>
      </c>
      <c r="O18" s="58">
        <f t="shared" si="0"/>
        <v>-4.1997050778799272</v>
      </c>
      <c r="T18" s="69">
        <v>4</v>
      </c>
      <c r="U18" s="77">
        <f t="shared" si="3"/>
        <v>3.5279999999999999E-2</v>
      </c>
      <c r="V18" s="84">
        <v>2</v>
      </c>
      <c r="W18" s="79">
        <f t="shared" si="4"/>
        <v>3.0869999999999998E-2</v>
      </c>
      <c r="X18" s="80">
        <f t="shared" si="2"/>
        <v>2.8703464508166134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37228</v>
      </c>
      <c r="N19" s="57">
        <v>4.0000000000000001E-3</v>
      </c>
      <c r="O19" s="58">
        <f t="shared" si="0"/>
        <v>-4.2686979493668789</v>
      </c>
      <c r="T19" s="69">
        <v>5</v>
      </c>
      <c r="U19" s="77">
        <f t="shared" si="3"/>
        <v>4.41E-2</v>
      </c>
      <c r="V19" s="84">
        <v>11</v>
      </c>
      <c r="W19" s="79">
        <f t="shared" si="4"/>
        <v>3.9690000000000003E-2</v>
      </c>
      <c r="X19" s="80">
        <f t="shared" si="2"/>
        <v>15.786905479491374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37319</v>
      </c>
      <c r="N20" s="57">
        <v>4.0000000000000001E-3</v>
      </c>
      <c r="O20" s="58">
        <f t="shared" si="0"/>
        <v>-4.2686979493668789</v>
      </c>
      <c r="T20" s="69">
        <v>6</v>
      </c>
      <c r="U20" s="77">
        <f t="shared" si="3"/>
        <v>5.2919999999999995E-2</v>
      </c>
      <c r="V20" s="84">
        <v>0</v>
      </c>
      <c r="W20" s="79">
        <f t="shared" si="4"/>
        <v>4.8509999999999998E-2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6.8665197889033747E-2</v>
      </c>
      <c r="C21" s="62">
        <f>NORMINV(0.025,$B$16,$B$17)</f>
        <v>-3.5672792825742636E-2</v>
      </c>
      <c r="D21" s="4"/>
      <c r="M21" s="56">
        <v>37410</v>
      </c>
      <c r="N21" s="57">
        <v>5.0000000000000001E-3</v>
      </c>
      <c r="O21" s="58">
        <f t="shared" si="0"/>
        <v>-4.1997050778799272</v>
      </c>
      <c r="T21" s="69">
        <v>7</v>
      </c>
      <c r="U21" s="77">
        <f t="shared" si="3"/>
        <v>6.1739999999999996E-2</v>
      </c>
      <c r="V21" s="84">
        <v>1</v>
      </c>
      <c r="W21" s="79">
        <f t="shared" si="4"/>
        <v>5.7329999999999992E-2</v>
      </c>
      <c r="X21" s="80">
        <f t="shared" si="2"/>
        <v>1.4351732254083067</v>
      </c>
    </row>
    <row r="22" spans="1:24" ht="15" customHeight="1" x14ac:dyDescent="0.2">
      <c r="A22" s="104" t="s">
        <v>77</v>
      </c>
      <c r="B22" s="62">
        <f>NORMINV(0.99,$B$16,$B$17)</f>
        <v>7.8417356388453249E-2</v>
      </c>
      <c r="C22" s="62">
        <f>NORMINV(0.01,B16,B17)</f>
        <v>-4.5424951325162125E-2</v>
      </c>
      <c r="M22" s="56">
        <v>37501</v>
      </c>
      <c r="N22" s="57">
        <v>3.1E-2</v>
      </c>
      <c r="O22" s="58">
        <f t="shared" si="0"/>
        <v>-3.1941832122778293</v>
      </c>
      <c r="T22" s="69">
        <v>8</v>
      </c>
      <c r="U22" s="77">
        <f t="shared" si="3"/>
        <v>7.0559999999999998E-2</v>
      </c>
      <c r="V22" s="84">
        <v>0</v>
      </c>
      <c r="W22" s="79">
        <f t="shared" si="4"/>
        <v>6.615E-2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8.3417356388453254E-2</v>
      </c>
      <c r="E23" s="144" t="s">
        <v>80</v>
      </c>
      <c r="F23" s="144"/>
      <c r="G23" s="144"/>
      <c r="M23" s="56">
        <v>37592</v>
      </c>
      <c r="N23" s="57">
        <v>4.0000000000000001E-3</v>
      </c>
      <c r="O23" s="58">
        <f t="shared" si="0"/>
        <v>-4.2686979493668789</v>
      </c>
      <c r="T23" s="69">
        <v>9</v>
      </c>
      <c r="U23" s="77">
        <f t="shared" si="3"/>
        <v>7.9379999999999992E-2</v>
      </c>
      <c r="V23" s="84">
        <v>0</v>
      </c>
      <c r="W23" s="79">
        <f t="shared" si="4"/>
        <v>7.4969999999999995E-2</v>
      </c>
      <c r="X23" s="80">
        <f t="shared" si="2"/>
        <v>0</v>
      </c>
    </row>
    <row r="24" spans="1:24" ht="15" customHeight="1" x14ac:dyDescent="0.2">
      <c r="M24" s="56">
        <v>37683</v>
      </c>
      <c r="N24" s="57">
        <v>0.03</v>
      </c>
      <c r="O24" s="58">
        <f t="shared" si="0"/>
        <v>-3.2188758248682006</v>
      </c>
      <c r="T24" s="69">
        <v>10</v>
      </c>
      <c r="U24" s="77">
        <f t="shared" si="3"/>
        <v>8.8200000000000001E-2</v>
      </c>
      <c r="V24" s="84">
        <v>0</v>
      </c>
      <c r="W24" s="79">
        <f t="shared" si="4"/>
        <v>8.3790000000000003E-2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37774</v>
      </c>
      <c r="N25" s="57">
        <v>0.03</v>
      </c>
      <c r="O25" s="58">
        <f t="shared" si="0"/>
        <v>-3.2188758248682006</v>
      </c>
      <c r="Q25" s="75" t="s">
        <v>68</v>
      </c>
      <c r="R25" s="75">
        <f>MEDIAN($O$3:$O$252)</f>
        <v>-3.912023005428146</v>
      </c>
      <c r="T25" s="69">
        <v>11</v>
      </c>
      <c r="U25" s="77">
        <f t="shared" si="3"/>
        <v>9.7019999999999995E-2</v>
      </c>
      <c r="V25" s="84">
        <v>1</v>
      </c>
      <c r="W25" s="79">
        <f t="shared" si="4"/>
        <v>9.2609999999999998E-2</v>
      </c>
      <c r="X25" s="80">
        <f t="shared" si="2"/>
        <v>1.4351732254083067</v>
      </c>
    </row>
    <row r="26" spans="1:24" ht="15" customHeight="1" x14ac:dyDescent="0.2">
      <c r="A26" s="86" t="s">
        <v>36</v>
      </c>
      <c r="B26" s="134">
        <v>0.01</v>
      </c>
      <c r="C26" s="62"/>
      <c r="E26" s="7" t="e">
        <f>AVERAGE(C50:C199)</f>
        <v>#DIV/0!</v>
      </c>
      <c r="M26" s="56">
        <v>37865</v>
      </c>
      <c r="N26" s="57">
        <v>0.03</v>
      </c>
      <c r="O26" s="58">
        <f t="shared" si="0"/>
        <v>-3.2188758248682006</v>
      </c>
      <c r="Q26" s="75" t="s">
        <v>73</v>
      </c>
      <c r="R26" s="75">
        <f>AVERAGE($O$3:$O$252)</f>
        <v>-3.8134983749323776</v>
      </c>
      <c r="T26" s="69">
        <v>12</v>
      </c>
      <c r="U26" s="77">
        <f t="shared" si="3"/>
        <v>0.10583999999999999</v>
      </c>
      <c r="V26" s="84">
        <v>1</v>
      </c>
      <c r="W26" s="79">
        <f t="shared" si="4"/>
        <v>0.10142999999999999</v>
      </c>
      <c r="X26" s="80">
        <f t="shared" si="2"/>
        <v>1.4351732254083067</v>
      </c>
    </row>
    <row r="27" spans="1:24" ht="15" customHeight="1" x14ac:dyDescent="0.2">
      <c r="A27" s="65" t="s">
        <v>17</v>
      </c>
      <c r="B27" s="62">
        <f>EXP($R$26)</f>
        <v>2.2070831696719834E-2</v>
      </c>
      <c r="C27" s="62"/>
      <c r="E27" s="7" t="e">
        <f>STDEV(C50:C199)</f>
        <v>#DIV/0!</v>
      </c>
      <c r="F27" s="7" t="e">
        <f>NORMINV(0.025,$E26,$E27)</f>
        <v>#DIV/0!</v>
      </c>
      <c r="M27" s="56">
        <v>37957</v>
      </c>
      <c r="N27" s="57">
        <v>0.03</v>
      </c>
      <c r="O27" s="58">
        <f t="shared" si="0"/>
        <v>-3.2188758248682006</v>
      </c>
      <c r="Q27" s="75" t="s">
        <v>104</v>
      </c>
      <c r="R27" s="75">
        <f>STDEV($O$3:$O$252)</f>
        <v>0.50301111430835987</v>
      </c>
      <c r="T27" s="69">
        <v>13</v>
      </c>
      <c r="U27" s="77">
        <f t="shared" si="3"/>
        <v>0.11466</v>
      </c>
      <c r="V27" s="84">
        <v>0</v>
      </c>
      <c r="W27" s="79">
        <f t="shared" si="4"/>
        <v>0.11024999999999999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0.20527858072778621</v>
      </c>
      <c r="C28" s="115" t="s">
        <v>45</v>
      </c>
      <c r="F28" s="7" t="e">
        <f>NORMINV(0.01,$E$26,$E$27)</f>
        <v>#DIV/0!</v>
      </c>
      <c r="M28" s="56">
        <v>38054</v>
      </c>
      <c r="N28" s="57">
        <v>0.03</v>
      </c>
      <c r="O28" s="58">
        <f t="shared" si="0"/>
        <v>-3.2188758248682006</v>
      </c>
      <c r="Q28" s="75" t="s">
        <v>108</v>
      </c>
      <c r="R28" s="75">
        <f>NORMINV(0.025,$R$26,$R$27)</f>
        <v>-4.799382042800123</v>
      </c>
      <c r="T28" s="69">
        <v>14</v>
      </c>
      <c r="U28" s="77">
        <f t="shared" si="3"/>
        <v>0.12347999999999999</v>
      </c>
      <c r="V28" s="84">
        <v>0</v>
      </c>
      <c r="W28" s="79">
        <f t="shared" si="4"/>
        <v>0.11907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38145</v>
      </c>
      <c r="N29" s="57">
        <v>0.03</v>
      </c>
      <c r="O29" s="58">
        <f t="shared" si="0"/>
        <v>-3.2188758248682006</v>
      </c>
      <c r="Q29" s="75" t="s">
        <v>107</v>
      </c>
      <c r="R29" s="75">
        <f>NORMINV(0.01,$R$26,$R$27)</f>
        <v>-4.9836772113225454</v>
      </c>
      <c r="T29" s="69">
        <v>15</v>
      </c>
      <c r="U29" s="77">
        <f t="shared" si="3"/>
        <v>0.1323</v>
      </c>
      <c r="V29" s="84">
        <v>0</v>
      </c>
      <c r="W29" s="79">
        <f t="shared" si="4"/>
        <v>0.12789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38236</v>
      </c>
      <c r="N30" s="57">
        <v>0.03</v>
      </c>
      <c r="O30" s="58">
        <f t="shared" si="0"/>
        <v>-3.2188758248682006</v>
      </c>
      <c r="Q30" s="75" t="s">
        <v>105</v>
      </c>
      <c r="R30" s="75">
        <f>NORMINV(0.95,$R$26,$R$27)</f>
        <v>-2.9861187191653706</v>
      </c>
      <c r="T30" s="69">
        <v>16</v>
      </c>
      <c r="U30" s="77">
        <f t="shared" si="3"/>
        <v>0.14112</v>
      </c>
      <c r="V30" s="84">
        <v>0</v>
      </c>
      <c r="W30" s="79">
        <f t="shared" si="4"/>
        <v>0.13671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4.048299565203315E-2</v>
      </c>
      <c r="C31" s="62">
        <f>NORMINV(0.025,$R$26,$R$27)</f>
        <v>-4.799382042800123</v>
      </c>
      <c r="E31" s="7" t="e">
        <f>NORMINV(0.98,$E$26,$E$27)</f>
        <v>#DIV/0!</v>
      </c>
      <c r="M31" s="56">
        <v>38327</v>
      </c>
      <c r="N31" s="57">
        <v>0.03</v>
      </c>
      <c r="O31" s="58">
        <f t="shared" si="0"/>
        <v>-3.2188758248682006</v>
      </c>
      <c r="Q31" s="75" t="s">
        <v>106</v>
      </c>
      <c r="R31" s="75">
        <f>NORMINV(0.98,$R$26,$R$27)</f>
        <v>-2.7804398468858844</v>
      </c>
      <c r="T31" s="69">
        <v>17</v>
      </c>
      <c r="U31" s="77">
        <f t="shared" si="3"/>
        <v>0.14993999999999999</v>
      </c>
      <c r="V31" s="84">
        <v>0</v>
      </c>
      <c r="W31" s="79">
        <f t="shared" si="4"/>
        <v>0.14552999999999999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5.201122593335239E-2</v>
      </c>
      <c r="C32" s="62">
        <f>NORMINV(0.01,$R$26,$R$27)</f>
        <v>-4.9836772113225454</v>
      </c>
      <c r="M32" s="56">
        <v>38418</v>
      </c>
      <c r="N32" s="57">
        <v>0.03</v>
      </c>
      <c r="O32" s="58">
        <f t="shared" si="0"/>
        <v>-3.2188758248682006</v>
      </c>
      <c r="T32" s="69">
        <v>18</v>
      </c>
      <c r="U32" s="77">
        <f t="shared" si="3"/>
        <v>0.15875999999999998</v>
      </c>
      <c r="V32" s="84">
        <v>0</v>
      </c>
      <c r="W32" s="79">
        <f t="shared" si="4"/>
        <v>0.15434999999999999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5.7011225933352387E-2</v>
      </c>
      <c r="M33" s="56">
        <v>38509</v>
      </c>
      <c r="N33" s="57">
        <v>0.02</v>
      </c>
      <c r="O33" s="58">
        <f t="shared" si="0"/>
        <v>-3.5065578973199818</v>
      </c>
      <c r="T33" s="69">
        <v>19</v>
      </c>
      <c r="U33" s="77">
        <f t="shared" si="3"/>
        <v>0.16758000000000001</v>
      </c>
      <c r="V33" s="84">
        <v>0</v>
      </c>
      <c r="W33" s="79">
        <f t="shared" si="4"/>
        <v>0.16316999999999998</v>
      </c>
      <c r="X33" s="80">
        <f t="shared" si="2"/>
        <v>0</v>
      </c>
    </row>
    <row r="34" spans="1:24" ht="15" customHeight="1" x14ac:dyDescent="0.2">
      <c r="M34" s="56">
        <v>38600</v>
      </c>
      <c r="N34" s="57">
        <v>0.01</v>
      </c>
      <c r="O34" s="58">
        <f t="shared" si="0"/>
        <v>-3.912023005428146</v>
      </c>
      <c r="T34" s="69">
        <v>20</v>
      </c>
      <c r="U34" s="77">
        <f t="shared" si="3"/>
        <v>0.1764</v>
      </c>
      <c r="V34" s="84">
        <v>0</v>
      </c>
      <c r="W34" s="79">
        <f t="shared" si="4"/>
        <v>0.17199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38691</v>
      </c>
      <c r="N35" s="57">
        <v>0.01</v>
      </c>
      <c r="O35" s="58">
        <f t="shared" si="0"/>
        <v>-3.912023005428146</v>
      </c>
      <c r="T35" s="69">
        <v>21</v>
      </c>
      <c r="U35" s="77">
        <f t="shared" si="3"/>
        <v>0.18522</v>
      </c>
      <c r="V35" s="84">
        <v>0</v>
      </c>
      <c r="W35" s="79">
        <f t="shared" si="4"/>
        <v>0.18081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38782</v>
      </c>
      <c r="N36" s="57">
        <v>0.08</v>
      </c>
      <c r="O36" s="58">
        <f t="shared" si="0"/>
        <v>-2.4079456086518722</v>
      </c>
      <c r="T36" s="69">
        <v>22</v>
      </c>
      <c r="U36" s="77">
        <f t="shared" si="3"/>
        <v>0.19403999999999999</v>
      </c>
      <c r="V36" s="84">
        <v>0</v>
      </c>
      <c r="W36" s="79">
        <f t="shared" si="4"/>
        <v>0.18962999999999999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0.2205</v>
      </c>
      <c r="D37" s="8"/>
      <c r="E37" s="8"/>
      <c r="M37" s="56">
        <v>38874</v>
      </c>
      <c r="N37" s="57">
        <v>0.01</v>
      </c>
      <c r="O37" s="58">
        <f t="shared" si="0"/>
        <v>-3.912023005428146</v>
      </c>
      <c r="T37" s="69">
        <v>23</v>
      </c>
      <c r="U37" s="77">
        <f t="shared" si="3"/>
        <v>0.20285999999999998</v>
      </c>
      <c r="V37" s="84">
        <v>0</v>
      </c>
      <c r="W37" s="79">
        <f t="shared" si="4"/>
        <v>0.19844999999999999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8.8199999999999997E-3</v>
      </c>
      <c r="M38" s="56">
        <v>38965</v>
      </c>
      <c r="N38" s="57">
        <v>0.01</v>
      </c>
      <c r="O38" s="58">
        <f t="shared" si="0"/>
        <v>-3.912023005428146</v>
      </c>
      <c r="T38" s="69">
        <v>24</v>
      </c>
      <c r="U38" s="77">
        <f t="shared" si="3"/>
        <v>0.21167999999999998</v>
      </c>
      <c r="V38" s="84">
        <v>0</v>
      </c>
      <c r="W38" s="79">
        <f t="shared" si="4"/>
        <v>0.20726999999999998</v>
      </c>
      <c r="X38" s="80">
        <f t="shared" si="2"/>
        <v>0</v>
      </c>
    </row>
    <row r="39" spans="1:24" ht="15" x14ac:dyDescent="0.2">
      <c r="M39" s="56">
        <v>39055</v>
      </c>
      <c r="N39" s="57">
        <v>0.03</v>
      </c>
      <c r="O39" s="58">
        <f t="shared" si="0"/>
        <v>-3.2188758248682006</v>
      </c>
      <c r="T39" s="69">
        <v>25</v>
      </c>
      <c r="U39" s="77">
        <f t="shared" si="3"/>
        <v>0.2205</v>
      </c>
      <c r="V39" s="84">
        <v>1</v>
      </c>
      <c r="W39" s="79">
        <f t="shared" si="4"/>
        <v>0.21609</v>
      </c>
      <c r="X39" s="80">
        <f t="shared" si="2"/>
        <v>1.4351732254083067</v>
      </c>
    </row>
    <row r="40" spans="1:24" ht="15" x14ac:dyDescent="0.2">
      <c r="M40" s="56">
        <v>39146</v>
      </c>
      <c r="N40" s="57">
        <v>0.01</v>
      </c>
      <c r="O40" s="58">
        <f t="shared" si="0"/>
        <v>-3.912023005428146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39237</v>
      </c>
      <c r="N41" s="57">
        <v>0.01</v>
      </c>
      <c r="O41" s="58">
        <f t="shared" si="0"/>
        <v>-3.912023005428146</v>
      </c>
    </row>
    <row r="42" spans="1:24" ht="15" x14ac:dyDescent="0.2">
      <c r="M42" s="56">
        <v>39328</v>
      </c>
      <c r="N42" s="57">
        <v>0.01</v>
      </c>
      <c r="O42" s="58">
        <f t="shared" si="0"/>
        <v>-3.912023005428146</v>
      </c>
    </row>
    <row r="43" spans="1:24" ht="15" x14ac:dyDescent="0.2">
      <c r="M43" s="56">
        <v>39419</v>
      </c>
      <c r="N43" s="57">
        <v>0.01</v>
      </c>
      <c r="O43" s="58">
        <f t="shared" si="0"/>
        <v>-3.912023005428146</v>
      </c>
    </row>
    <row r="44" spans="1:24" ht="15" x14ac:dyDescent="0.2">
      <c r="M44" s="56">
        <v>39510</v>
      </c>
      <c r="N44" s="57">
        <v>0.01</v>
      </c>
      <c r="O44" s="58">
        <f t="shared" si="0"/>
        <v>-3.912023005428146</v>
      </c>
      <c r="T44" s="83" t="s">
        <v>13</v>
      </c>
    </row>
    <row r="45" spans="1:24" ht="15" x14ac:dyDescent="0.2">
      <c r="M45" s="56">
        <v>39601</v>
      </c>
      <c r="N45" s="57">
        <v>0.01</v>
      </c>
      <c r="O45" s="58">
        <f t="shared" si="0"/>
        <v>-3.912023005428146</v>
      </c>
      <c r="T45" s="69" t="s">
        <v>26</v>
      </c>
      <c r="U45" s="69" t="s">
        <v>27</v>
      </c>
    </row>
    <row r="46" spans="1:24" ht="15" x14ac:dyDescent="0.2">
      <c r="B46" s="6"/>
      <c r="M46" s="56">
        <v>39692</v>
      </c>
      <c r="N46" s="57">
        <v>0.01</v>
      </c>
      <c r="O46" s="58">
        <f t="shared" si="0"/>
        <v>-3.912023005428146</v>
      </c>
      <c r="T46" s="85">
        <f>$U$14-$B$38/100</f>
        <v>-8.8200000000000003E-5</v>
      </c>
      <c r="U46" s="28">
        <v>0</v>
      </c>
    </row>
    <row r="47" spans="1:24" ht="15" x14ac:dyDescent="0.2">
      <c r="B47" s="9"/>
      <c r="C47" s="9"/>
      <c r="D47" s="9"/>
      <c r="E47" s="9"/>
      <c r="M47" s="56">
        <v>39783</v>
      </c>
      <c r="N47" s="57">
        <v>0.01</v>
      </c>
      <c r="O47" s="58">
        <f t="shared" si="0"/>
        <v>-3.912023005428146</v>
      </c>
      <c r="T47" s="85">
        <f>$U$14+$B$38/100</f>
        <v>8.8200000000000003E-5</v>
      </c>
      <c r="U47" s="28">
        <f>$X$15</f>
        <v>37.314503860615979</v>
      </c>
    </row>
    <row r="48" spans="1:24" ht="16.149999999999999" customHeight="1" x14ac:dyDescent="0.2">
      <c r="D48" s="9"/>
      <c r="E48" s="9"/>
      <c r="K48" s="11"/>
      <c r="L48" s="12"/>
      <c r="M48" s="56">
        <v>39874</v>
      </c>
      <c r="N48" s="57">
        <v>0.01</v>
      </c>
      <c r="O48" s="58">
        <f t="shared" si="0"/>
        <v>-3.912023005428146</v>
      </c>
      <c r="T48" s="85">
        <f>$U$15-$B$38/100</f>
        <v>8.7317999999999996E-3</v>
      </c>
      <c r="U48" s="28">
        <f>$X$15</f>
        <v>37.314503860615979</v>
      </c>
    </row>
    <row r="49" spans="5:21" ht="15" x14ac:dyDescent="0.2">
      <c r="E49" s="13"/>
      <c r="M49" s="56">
        <v>39972</v>
      </c>
      <c r="N49" s="57">
        <v>0.01</v>
      </c>
      <c r="O49" s="58">
        <f t="shared" si="0"/>
        <v>-3.912023005428146</v>
      </c>
      <c r="T49" s="85">
        <f>$U$15+$B$38/100</f>
        <v>8.9081999999999998E-3</v>
      </c>
      <c r="U49" s="28">
        <f>$X$16</f>
        <v>37.314503860615979</v>
      </c>
    </row>
    <row r="50" spans="5:21" ht="15" x14ac:dyDescent="0.2">
      <c r="E50" s="15"/>
      <c r="M50" s="56">
        <v>40063</v>
      </c>
      <c r="N50" s="57">
        <v>0.01</v>
      </c>
      <c r="O50" s="58">
        <f t="shared" si="0"/>
        <v>-3.912023005428146</v>
      </c>
      <c r="T50" s="85">
        <f>$U$16-$B$38/100</f>
        <v>1.7551799999999999E-2</v>
      </c>
      <c r="U50" s="28">
        <f>$X$16</f>
        <v>37.314503860615979</v>
      </c>
    </row>
    <row r="51" spans="5:21" ht="15" x14ac:dyDescent="0.2">
      <c r="E51" s="15"/>
      <c r="M51" s="56">
        <v>40234</v>
      </c>
      <c r="N51" s="57">
        <v>0.01</v>
      </c>
      <c r="O51" s="58">
        <f t="shared" si="0"/>
        <v>-3.912023005428146</v>
      </c>
      <c r="T51" s="85">
        <f>$U$16+$B$38/100</f>
        <v>1.77282E-2</v>
      </c>
      <c r="U51" s="28">
        <f>$X$17</f>
        <v>51.666236114699046</v>
      </c>
    </row>
    <row r="52" spans="5:21" ht="15" x14ac:dyDescent="0.2">
      <c r="E52" s="15"/>
      <c r="M52" s="56">
        <v>40336</v>
      </c>
      <c r="N52" s="57">
        <v>0.01</v>
      </c>
      <c r="O52" s="58">
        <f t="shared" si="0"/>
        <v>-3.912023005428146</v>
      </c>
      <c r="T52" s="85">
        <f>$U$17-$B$38/100</f>
        <v>2.6371799999999997E-2</v>
      </c>
      <c r="U52" s="28">
        <f>$X$17</f>
        <v>51.666236114699046</v>
      </c>
    </row>
    <row r="53" spans="5:21" ht="15" x14ac:dyDescent="0.2">
      <c r="E53" s="15"/>
      <c r="F53" s="15"/>
      <c r="G53" s="15"/>
      <c r="M53" s="56">
        <v>40427</v>
      </c>
      <c r="N53" s="57">
        <v>0.01</v>
      </c>
      <c r="O53" s="58">
        <f t="shared" si="0"/>
        <v>-3.912023005428146</v>
      </c>
      <c r="T53" s="85">
        <f>$U$17+$B$38/100</f>
        <v>2.6548199999999997E-2</v>
      </c>
      <c r="U53" s="28">
        <f>$X$18</f>
        <v>2.8703464508166134</v>
      </c>
    </row>
    <row r="54" spans="5:21" ht="15" x14ac:dyDescent="0.2">
      <c r="E54" s="15"/>
      <c r="F54" s="15"/>
      <c r="G54" s="15"/>
      <c r="M54" s="56">
        <v>40546</v>
      </c>
      <c r="N54" s="57">
        <v>0.01</v>
      </c>
      <c r="O54" s="58">
        <f t="shared" si="0"/>
        <v>-3.912023005428146</v>
      </c>
      <c r="T54" s="85">
        <f>$U$18-$B$38/100</f>
        <v>3.5191800000000002E-2</v>
      </c>
      <c r="U54" s="28">
        <f>$X$18</f>
        <v>2.8703464508166134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40609</v>
      </c>
      <c r="N55" s="57">
        <v>0.01</v>
      </c>
      <c r="O55" s="58">
        <f t="shared" si="0"/>
        <v>-3.912023005428146</v>
      </c>
      <c r="T55" s="85">
        <f>$U$18+$B$38/100</f>
        <v>3.5368199999999995E-2</v>
      </c>
      <c r="U55" s="28">
        <f>$X$19</f>
        <v>15.786905479491374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40700</v>
      </c>
      <c r="N56" s="57">
        <v>0.01</v>
      </c>
      <c r="O56" s="58">
        <f t="shared" si="0"/>
        <v>-3.912023005428146</v>
      </c>
      <c r="T56" s="85">
        <f>$U$19-$B$38/100</f>
        <v>4.4011800000000004E-2</v>
      </c>
      <c r="U56" s="28">
        <f>$X$19</f>
        <v>15.786905479491374</v>
      </c>
    </row>
    <row r="57" spans="5:21" ht="15" x14ac:dyDescent="0.2">
      <c r="E57" s="70">
        <v>1</v>
      </c>
      <c r="F57" s="74">
        <f>$B$21</f>
        <v>6.8665197889033747E-2</v>
      </c>
      <c r="G57" s="74">
        <f>$C$21</f>
        <v>-3.5672792825742636E-2</v>
      </c>
      <c r="H57" s="74">
        <f>$B$22</f>
        <v>7.8417356388453249E-2</v>
      </c>
      <c r="I57" s="74">
        <f>$C$22</f>
        <v>-4.5424951325162125E-2</v>
      </c>
      <c r="J57" s="74">
        <f>$B$31</f>
        <v>4.048299565203315E-2</v>
      </c>
      <c r="K57" s="74">
        <f>$B$32</f>
        <v>5.201122593335239E-2</v>
      </c>
      <c r="M57" s="56">
        <v>40791</v>
      </c>
      <c r="N57" s="57">
        <v>0.01</v>
      </c>
      <c r="O57" s="58">
        <f t="shared" si="0"/>
        <v>-3.912023005428146</v>
      </c>
      <c r="T57" s="85">
        <f>$U$19+$B$38/100</f>
        <v>4.4188199999999997E-2</v>
      </c>
      <c r="U57" s="28">
        <f>$X$20</f>
        <v>0</v>
      </c>
    </row>
    <row r="58" spans="5:21" ht="15" x14ac:dyDescent="0.2">
      <c r="E58" s="70">
        <v>51501</v>
      </c>
      <c r="F58" s="74">
        <f>$B$21</f>
        <v>6.8665197889033747E-2</v>
      </c>
      <c r="G58" s="74">
        <f>$C$21</f>
        <v>-3.5672792825742636E-2</v>
      </c>
      <c r="H58" s="74">
        <f>$B$22</f>
        <v>7.8417356388453249E-2</v>
      </c>
      <c r="I58" s="74">
        <f>$C$22</f>
        <v>-4.5424951325162125E-2</v>
      </c>
      <c r="J58" s="74">
        <f>$B$31</f>
        <v>4.048299565203315E-2</v>
      </c>
      <c r="K58" s="74">
        <f>$B$32</f>
        <v>5.201122593335239E-2</v>
      </c>
      <c r="M58" s="56">
        <v>40882</v>
      </c>
      <c r="N58" s="57">
        <v>0.01</v>
      </c>
      <c r="O58" s="58">
        <f t="shared" si="0"/>
        <v>-3.912023005428146</v>
      </c>
      <c r="T58" s="85">
        <f>$U$20-$B$38/100</f>
        <v>5.2831799999999998E-2</v>
      </c>
      <c r="U58" s="28">
        <f>$X$20</f>
        <v>0</v>
      </c>
    </row>
    <row r="59" spans="5:21" ht="15" x14ac:dyDescent="0.2">
      <c r="M59" s="56">
        <v>40973</v>
      </c>
      <c r="N59" s="57">
        <v>0.01</v>
      </c>
      <c r="O59" s="58">
        <f t="shared" si="0"/>
        <v>-3.912023005428146</v>
      </c>
      <c r="T59" s="85">
        <f>$U$20+$B$38/100</f>
        <v>5.3008199999999991E-2</v>
      </c>
      <c r="U59" s="28">
        <f>$X$21</f>
        <v>1.4351732254083067</v>
      </c>
    </row>
    <row r="60" spans="5:21" ht="15" x14ac:dyDescent="0.2">
      <c r="M60" s="56">
        <v>41064</v>
      </c>
      <c r="N60" s="57">
        <v>1.4E-2</v>
      </c>
      <c r="O60" s="58">
        <f t="shared" si="0"/>
        <v>-3.7297014486341915</v>
      </c>
      <c r="T60" s="85">
        <f>$U$21-$B$38/100</f>
        <v>6.16518E-2</v>
      </c>
      <c r="U60" s="28">
        <f>$X$21</f>
        <v>1.4351732254083067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41155</v>
      </c>
      <c r="N61" s="57">
        <v>0.01</v>
      </c>
      <c r="O61" s="58">
        <f t="shared" si="0"/>
        <v>-3.912023005428146</v>
      </c>
      <c r="T61" s="85">
        <f>$U$21+$B$38/100</f>
        <v>6.1828199999999993E-2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41246</v>
      </c>
      <c r="N62" s="57">
        <v>0.01</v>
      </c>
      <c r="O62" s="58">
        <f t="shared" si="0"/>
        <v>-3.912023005428146</v>
      </c>
      <c r="T62" s="85">
        <f>$U$22-$B$38/100</f>
        <v>7.0471800000000001E-2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-0.11659041479625072</v>
      </c>
      <c r="G63" s="73">
        <f>NORMDIST($F63,$B$16,$B$17,FALSE)</f>
        <v>5.5855334840743097E-5</v>
      </c>
      <c r="H63" s="73">
        <f>EXP($R$26+$E63*$R$27)</f>
        <v>1.784612549394237E-3</v>
      </c>
      <c r="I63" s="73">
        <f t="shared" ref="I63:I113" si="5">H63-$B$26</f>
        <v>-8.2153874506057638E-3</v>
      </c>
      <c r="J63" s="73">
        <f>1/$H63/SQRT(2*PI())/$R$27*EXP(-POWER(LN($H63)-$R$26,2)/2/POWER($R$27,2))</f>
        <v>1.6561799331389882E-3</v>
      </c>
      <c r="K63" s="73">
        <f>LOGNORMDIST($H63,$R$26,$R$27)</f>
        <v>2.8665157187919439E-7</v>
      </c>
      <c r="M63" s="56">
        <v>41337</v>
      </c>
      <c r="N63" s="57">
        <v>2.1000000000000001E-2</v>
      </c>
      <c r="O63" s="58">
        <f t="shared" si="0"/>
        <v>-3.473768074496991</v>
      </c>
      <c r="T63" s="85">
        <f>$U$22+$B$38/100</f>
        <v>7.0648199999999994E-2</v>
      </c>
      <c r="U63" s="28">
        <f>$X$23</f>
        <v>0</v>
      </c>
    </row>
    <row r="64" spans="5:21" ht="15" x14ac:dyDescent="0.2">
      <c r="E64" s="72">
        <v>-4.8</v>
      </c>
      <c r="F64" s="73">
        <f t="shared" ref="F64:F113" si="6">$B$16+$E64*$B$17</f>
        <v>-0.11126695010313488</v>
      </c>
      <c r="G64" s="73">
        <f t="shared" ref="G64:G113" si="7">NORMDIST($F64,$B$16,$B$17,FALSE)</f>
        <v>1.4882409556147565E-4</v>
      </c>
      <c r="H64" s="73">
        <f t="shared" ref="H64:H113" si="8">EXP($R$26+$E64*$R$27)</f>
        <v>1.9734900126329113E-3</v>
      </c>
      <c r="I64" s="73">
        <f t="shared" si="5"/>
        <v>-8.0265099873670885E-3</v>
      </c>
      <c r="J64" s="73">
        <f t="shared" ref="J64:J113" si="9">1/$H64/SQRT(2*PI())/$R$27*EXP(-POWER(LN($H64)-$R$26,2)/2/POWER($R$27,2))</f>
        <v>3.990479832630925E-3</v>
      </c>
      <c r="K64" s="73">
        <f t="shared" ref="K64:K113" si="10">LOGNORMDIST($H64,$R$26,$R$27)</f>
        <v>7.933281519755948E-7</v>
      </c>
      <c r="M64" s="56">
        <v>41428</v>
      </c>
      <c r="N64" s="57">
        <v>1.0999999999999999E-2</v>
      </c>
      <c r="O64" s="58">
        <f t="shared" si="0"/>
        <v>-3.8632328412587142</v>
      </c>
      <c r="T64" s="85">
        <f>$U$23-$B$38/100</f>
        <v>7.9291799999999996E-2</v>
      </c>
      <c r="U64" s="28">
        <f>$X$23</f>
        <v>0</v>
      </c>
    </row>
    <row r="65" spans="5:21" ht="15" x14ac:dyDescent="0.2">
      <c r="E65" s="72">
        <v>-4.5999999999999996</v>
      </c>
      <c r="F65" s="73">
        <f t="shared" si="6"/>
        <v>-0.10594348541001901</v>
      </c>
      <c r="G65" s="73">
        <f t="shared" si="7"/>
        <v>3.8098691923703793E-4</v>
      </c>
      <c r="H65" s="73">
        <f t="shared" si="8"/>
        <v>2.1823576390762466E-3</v>
      </c>
      <c r="I65" s="73">
        <f t="shared" si="5"/>
        <v>-7.8176423609237541E-3</v>
      </c>
      <c r="J65" s="73">
        <f t="shared" si="9"/>
        <v>9.237850785388536E-3</v>
      </c>
      <c r="K65" s="73">
        <f t="shared" si="10"/>
        <v>2.1124547025028414E-6</v>
      </c>
      <c r="M65" s="56">
        <v>41542</v>
      </c>
      <c r="N65" s="57">
        <v>5.0000000000000001E-3</v>
      </c>
      <c r="O65" s="58">
        <f t="shared" si="0"/>
        <v>-4.1997050778799272</v>
      </c>
      <c r="T65" s="85">
        <f>$U$23+$B$38/100</f>
        <v>7.9468199999999989E-2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-0.10062002071690318</v>
      </c>
      <c r="G66" s="73">
        <f t="shared" si="7"/>
        <v>9.3707661186551714E-4</v>
      </c>
      <c r="H66" s="73">
        <f t="shared" si="8"/>
        <v>2.4133311211848329E-3</v>
      </c>
      <c r="I66" s="73">
        <f t="shared" si="5"/>
        <v>-7.5866688788151677E-3</v>
      </c>
      <c r="J66" s="73">
        <f t="shared" si="9"/>
        <v>2.0546837512270398E-2</v>
      </c>
      <c r="K66" s="73">
        <f t="shared" si="10"/>
        <v>5.4125439077038704E-6</v>
      </c>
      <c r="M66" s="56">
        <v>41610</v>
      </c>
      <c r="N66" s="57">
        <v>5.0000000000000001E-3</v>
      </c>
      <c r="O66" s="58">
        <f t="shared" si="0"/>
        <v>-4.1997050778799272</v>
      </c>
      <c r="T66" s="85">
        <f>$U$24-$B$38/100</f>
        <v>8.8111800000000004E-2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-9.5296556023787324E-2</v>
      </c>
      <c r="G67" s="73">
        <f t="shared" si="7"/>
        <v>2.2144626161515941E-3</v>
      </c>
      <c r="H67" s="73">
        <f t="shared" si="8"/>
        <v>2.6687500692803511E-3</v>
      </c>
      <c r="I67" s="73">
        <f t="shared" si="5"/>
        <v>-7.3312499307196487E-3</v>
      </c>
      <c r="J67" s="73">
        <f t="shared" si="9"/>
        <v>4.390836347482277E-2</v>
      </c>
      <c r="K67" s="73">
        <f t="shared" si="10"/>
        <v>1.3345749015906309E-5</v>
      </c>
      <c r="M67" s="56">
        <v>41701</v>
      </c>
      <c r="N67" s="57">
        <v>1.4999999999999999E-2</v>
      </c>
      <c r="O67" s="58">
        <f t="shared" ref="O67:O130" si="11">IF($N67&gt;0,LN($N67+$B$26))</f>
        <v>-3.6888794541139363</v>
      </c>
      <c r="T67" s="85">
        <f>$U$24+$B$38/100</f>
        <v>8.8288199999999997E-2</v>
      </c>
      <c r="U67" s="28">
        <f>$X$25</f>
        <v>1.4351732254083067</v>
      </c>
    </row>
    <row r="68" spans="5:21" ht="15" x14ac:dyDescent="0.2">
      <c r="E68" s="72">
        <v>-4</v>
      </c>
      <c r="F68" s="73">
        <f t="shared" si="6"/>
        <v>-8.9973091330671467E-2</v>
      </c>
      <c r="G68" s="73">
        <f t="shared" si="7"/>
        <v>5.0279370101937821E-3</v>
      </c>
      <c r="H68" s="73">
        <f t="shared" si="8"/>
        <v>2.9512017102680871E-3</v>
      </c>
      <c r="I68" s="73">
        <f t="shared" si="5"/>
        <v>-7.0487982897319132E-3</v>
      </c>
      <c r="J68" s="73">
        <f t="shared" si="9"/>
        <v>9.0152491904845519E-2</v>
      </c>
      <c r="K68" s="73">
        <f t="shared" si="10"/>
        <v>3.1671241833119809E-5</v>
      </c>
      <c r="M68" s="56">
        <v>41813</v>
      </c>
      <c r="N68" s="57">
        <v>6.1999999999999998E-3</v>
      </c>
      <c r="O68" s="58">
        <f t="shared" si="11"/>
        <v>-4.1227440367437991</v>
      </c>
      <c r="T68" s="85">
        <f>$U$25-$B$38/100</f>
        <v>9.6931799999999999E-2</v>
      </c>
      <c r="U68" s="28">
        <f>$X$25</f>
        <v>1.4351732254083067</v>
      </c>
    </row>
    <row r="69" spans="5:21" ht="15" x14ac:dyDescent="0.2">
      <c r="E69" s="72">
        <v>-3.8</v>
      </c>
      <c r="F69" s="73">
        <f t="shared" si="6"/>
        <v>-8.4649626637555611E-2</v>
      </c>
      <c r="G69" s="73">
        <f t="shared" si="7"/>
        <v>1.0968305140409685E-2</v>
      </c>
      <c r="H69" s="73">
        <f t="shared" si="8"/>
        <v>3.2635470945534808E-3</v>
      </c>
      <c r="I69" s="73">
        <f t="shared" si="5"/>
        <v>-6.7364529054465194E-3</v>
      </c>
      <c r="J69" s="73">
        <f t="shared" si="9"/>
        <v>0.17784286298236632</v>
      </c>
      <c r="K69" s="73">
        <f t="shared" si="10"/>
        <v>7.234804392511999E-5</v>
      </c>
      <c r="M69" s="56">
        <v>41905</v>
      </c>
      <c r="N69" s="57">
        <v>5.0000000000000001E-3</v>
      </c>
      <c r="O69" s="58">
        <f t="shared" si="11"/>
        <v>-4.1997050778799272</v>
      </c>
      <c r="T69" s="85">
        <f>$U$25+$B$38/100</f>
        <v>9.7108199999999992E-2</v>
      </c>
      <c r="U69" s="28">
        <f>$X$26</f>
        <v>1.4351732254083067</v>
      </c>
    </row>
    <row r="70" spans="5:21" ht="15" x14ac:dyDescent="0.2">
      <c r="E70" s="72">
        <v>-3.6</v>
      </c>
      <c r="F70" s="73">
        <f t="shared" si="6"/>
        <v>-7.9326161944439769E-2</v>
      </c>
      <c r="G70" s="73">
        <f t="shared" si="7"/>
        <v>2.2988860277595738E-2</v>
      </c>
      <c r="H70" s="73">
        <f t="shared" si="8"/>
        <v>3.6089500766116537E-3</v>
      </c>
      <c r="I70" s="73">
        <f t="shared" si="5"/>
        <v>-6.391049923388346E-3</v>
      </c>
      <c r="J70" s="73">
        <f t="shared" si="9"/>
        <v>0.3370725352444211</v>
      </c>
      <c r="K70" s="73">
        <f t="shared" si="10"/>
        <v>1.5910859015753318E-4</v>
      </c>
      <c r="M70" s="56">
        <v>42000</v>
      </c>
      <c r="N70" s="57">
        <v>5.0000000000000001E-3</v>
      </c>
      <c r="O70" s="58">
        <f t="shared" si="11"/>
        <v>-4.1997050778799272</v>
      </c>
      <c r="T70" s="85">
        <f>$U$26-$B$38/100</f>
        <v>0.10575179999999999</v>
      </c>
      <c r="U70" s="28">
        <f>$X$26</f>
        <v>1.4351732254083067</v>
      </c>
    </row>
    <row r="71" spans="5:21" ht="15" x14ac:dyDescent="0.2">
      <c r="E71" s="72">
        <v>-3.4</v>
      </c>
      <c r="F71" s="73">
        <f t="shared" si="6"/>
        <v>-7.4002697251323912E-2</v>
      </c>
      <c r="G71" s="73">
        <f t="shared" si="7"/>
        <v>4.6293879625668964E-2</v>
      </c>
      <c r="H71" s="73">
        <f t="shared" si="8"/>
        <v>3.9909093627641641E-3</v>
      </c>
      <c r="I71" s="73">
        <f t="shared" si="5"/>
        <v>-6.0090906372358361E-3</v>
      </c>
      <c r="J71" s="73">
        <f t="shared" si="9"/>
        <v>0.61381643794287499</v>
      </c>
      <c r="K71" s="73">
        <f t="shared" si="10"/>
        <v>3.3692926567688151E-4</v>
      </c>
      <c r="M71" s="56">
        <v>42081</v>
      </c>
      <c r="N71" s="57">
        <v>5.0000000000000001E-3</v>
      </c>
      <c r="O71" s="58">
        <f t="shared" si="11"/>
        <v>-4.1997050778799272</v>
      </c>
      <c r="T71" s="85">
        <f>$U$26+$B$38/100</f>
        <v>0.10592819999999999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-6.867923255820807E-2</v>
      </c>
      <c r="G72" s="73">
        <f t="shared" si="7"/>
        <v>8.956904342947454E-2</v>
      </c>
      <c r="H72" s="73">
        <f t="shared" si="8"/>
        <v>4.4132939507859374E-3</v>
      </c>
      <c r="I72" s="73">
        <f t="shared" si="5"/>
        <v>-5.5867060492140628E-3</v>
      </c>
      <c r="J72" s="73">
        <f t="shared" si="9"/>
        <v>1.0739446093562528</v>
      </c>
      <c r="K72" s="73">
        <f t="shared" si="10"/>
        <v>6.8713793791584719E-4</v>
      </c>
      <c r="M72" s="56">
        <v>42184</v>
      </c>
      <c r="N72" s="57">
        <v>5.0000000000000001E-3</v>
      </c>
      <c r="O72" s="58">
        <f t="shared" si="11"/>
        <v>-4.1997050778799272</v>
      </c>
      <c r="T72" s="85">
        <f>$U$27-$B$38/100</f>
        <v>0.1145718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-6.3355767865092213E-2</v>
      </c>
      <c r="G73" s="73">
        <f t="shared" si="7"/>
        <v>0.16650240651240325</v>
      </c>
      <c r="H73" s="73">
        <f t="shared" si="8"/>
        <v>4.8803823203225002E-3</v>
      </c>
      <c r="I73" s="73">
        <f t="shared" si="5"/>
        <v>-5.1196176796775E-3</v>
      </c>
      <c r="J73" s="73">
        <f t="shared" si="9"/>
        <v>1.8053169965793594</v>
      </c>
      <c r="K73" s="73">
        <f t="shared" si="10"/>
        <v>1.3498980316300983E-3</v>
      </c>
      <c r="M73" s="56">
        <v>42276</v>
      </c>
      <c r="N73" s="57">
        <v>0.01</v>
      </c>
      <c r="O73" s="58">
        <f t="shared" si="11"/>
        <v>-3.912023005428146</v>
      </c>
      <c r="T73" s="85">
        <f>$U$27+$B$38/100</f>
        <v>0.11474819999999999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-5.8032303171976357E-2</v>
      </c>
      <c r="G74" s="73">
        <f t="shared" si="7"/>
        <v>0.29737969684352367</v>
      </c>
      <c r="H74" s="73">
        <f t="shared" si="8"/>
        <v>5.3969057710907247E-3</v>
      </c>
      <c r="I74" s="73">
        <f t="shared" si="5"/>
        <v>-4.6030942289092755E-3</v>
      </c>
      <c r="J74" s="73">
        <f t="shared" si="9"/>
        <v>2.9157701137529783</v>
      </c>
      <c r="K74" s="73">
        <f t="shared" si="10"/>
        <v>2.5551303304279364E-3</v>
      </c>
      <c r="M74" s="56">
        <v>42366</v>
      </c>
      <c r="N74" s="57">
        <v>5.0000000000000001E-3</v>
      </c>
      <c r="O74" s="58">
        <f t="shared" si="11"/>
        <v>-4.1997050778799272</v>
      </c>
      <c r="T74" s="85">
        <f>$U$28-$B$38/100</f>
        <v>0.1233918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-5.2708838478860515E-2</v>
      </c>
      <c r="G75" s="73">
        <f t="shared" si="7"/>
        <v>0.51030560045793905</v>
      </c>
      <c r="H75" s="73">
        <f t="shared" si="8"/>
        <v>5.9680963478508089E-3</v>
      </c>
      <c r="I75" s="73">
        <f t="shared" si="5"/>
        <v>-4.0319036521491913E-3</v>
      </c>
      <c r="J75" s="73">
        <f t="shared" si="9"/>
        <v>4.52461165792272</v>
      </c>
      <c r="K75" s="73">
        <f t="shared" si="10"/>
        <v>4.6611880237187476E-3</v>
      </c>
      <c r="M75" s="56">
        <v>42452</v>
      </c>
      <c r="N75" s="57">
        <v>5.0000000000000001E-3</v>
      </c>
      <c r="O75" s="58">
        <f t="shared" si="11"/>
        <v>-4.1997050778799272</v>
      </c>
      <c r="T75" s="85">
        <f>$U$28+$B$38/100</f>
        <v>0.12356819999999999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-4.7385373785744658E-2</v>
      </c>
      <c r="G76" s="73">
        <f t="shared" si="7"/>
        <v>0.8413516980324055</v>
      </c>
      <c r="H76" s="73">
        <f t="shared" si="8"/>
        <v>6.5997398375980338E-3</v>
      </c>
      <c r="I76" s="73">
        <f t="shared" si="5"/>
        <v>-3.4002601624019664E-3</v>
      </c>
      <c r="J76" s="73">
        <f t="shared" si="9"/>
        <v>6.745863681679114</v>
      </c>
      <c r="K76" s="73">
        <f t="shared" si="10"/>
        <v>8.1975359245961502E-3</v>
      </c>
      <c r="M76" s="56">
        <v>42550</v>
      </c>
      <c r="N76" s="57">
        <v>6.0000000000000001E-3</v>
      </c>
      <c r="O76" s="58">
        <f t="shared" si="11"/>
        <v>-4.1351665567423561</v>
      </c>
      <c r="T76" s="85">
        <f>$U$29-$B$38/100</f>
        <v>0.13221179999999999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-4.2061909092628816E-2</v>
      </c>
      <c r="G77" s="73">
        <f t="shared" si="7"/>
        <v>1.3327633370840646</v>
      </c>
      <c r="H77" s="73">
        <f t="shared" si="8"/>
        <v>7.2982343758012198E-3</v>
      </c>
      <c r="I77" s="73">
        <f t="shared" si="5"/>
        <v>-2.7017656241987804E-3</v>
      </c>
      <c r="J77" s="73">
        <f t="shared" si="9"/>
        <v>9.6632236747066642</v>
      </c>
      <c r="K77" s="73">
        <f t="shared" si="10"/>
        <v>1.3903447513498621E-2</v>
      </c>
      <c r="L77" s="16"/>
      <c r="M77" s="56">
        <v>42639</v>
      </c>
      <c r="N77" s="57">
        <v>7.0000000000000001E-3</v>
      </c>
      <c r="O77" s="58">
        <f t="shared" si="11"/>
        <v>-4.0745419349259206</v>
      </c>
      <c r="T77" s="85">
        <f>$U$29+$B$38/100</f>
        <v>0.13238820000000001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-3.6738444399512959E-2</v>
      </c>
      <c r="G78" s="73">
        <f t="shared" si="7"/>
        <v>2.0284145617799454</v>
      </c>
      <c r="H78" s="73">
        <f t="shared" si="8"/>
        <v>8.0706552553308011E-3</v>
      </c>
      <c r="I78" s="73">
        <f t="shared" si="5"/>
        <v>-1.9293447446691991E-3</v>
      </c>
      <c r="J78" s="73">
        <f t="shared" si="9"/>
        <v>13.299481951186118</v>
      </c>
      <c r="K78" s="73">
        <f t="shared" si="10"/>
        <v>2.2750131948179184E-2</v>
      </c>
      <c r="L78" s="16"/>
      <c r="M78" s="56">
        <v>42732</v>
      </c>
      <c r="N78" s="57">
        <v>5.0000000000000001E-3</v>
      </c>
      <c r="O78" s="58">
        <f t="shared" si="11"/>
        <v>-4.1997050778799272</v>
      </c>
      <c r="T78" s="85">
        <f>$U$30-$B$38/100</f>
        <v>0.14103179999999998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-3.1414979706397103E-2</v>
      </c>
      <c r="G79" s="73">
        <f t="shared" si="7"/>
        <v>2.9661193546747922</v>
      </c>
      <c r="H79" s="73">
        <f t="shared" si="8"/>
        <v>8.9248265945484923E-3</v>
      </c>
      <c r="I79" s="73">
        <f t="shared" si="5"/>
        <v>-1.0751734054515079E-3</v>
      </c>
      <c r="J79" s="73">
        <f t="shared" si="9"/>
        <v>17.586346968379015</v>
      </c>
      <c r="K79" s="73">
        <f t="shared" si="10"/>
        <v>3.5930319112925838E-2</v>
      </c>
      <c r="L79" s="16"/>
      <c r="M79" s="56">
        <v>42822</v>
      </c>
      <c r="N79" s="57">
        <v>8.0000000000000002E-3</v>
      </c>
      <c r="O79" s="58">
        <f t="shared" si="11"/>
        <v>-4.0173835210859723</v>
      </c>
      <c r="T79" s="85">
        <f>$U$30+$B$38/100</f>
        <v>0.14120820000000001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-2.6091515013281257E-2</v>
      </c>
      <c r="G80" s="73">
        <f t="shared" si="7"/>
        <v>4.1672422406743914</v>
      </c>
      <c r="H80" s="73">
        <f t="shared" si="8"/>
        <v>9.8694005905094438E-3</v>
      </c>
      <c r="I80" s="73">
        <f t="shared" si="5"/>
        <v>-1.3059940949055639E-4</v>
      </c>
      <c r="J80" s="73">
        <f t="shared" si="9"/>
        <v>22.343169021183918</v>
      </c>
      <c r="K80" s="73">
        <f t="shared" si="10"/>
        <v>5.4799291699557967E-2</v>
      </c>
      <c r="L80" s="16"/>
      <c r="M80" s="56">
        <v>42916</v>
      </c>
      <c r="N80" s="57">
        <v>5.0000000000000001E-3</v>
      </c>
      <c r="O80" s="58">
        <f t="shared" si="11"/>
        <v>-4.1997050778799272</v>
      </c>
      <c r="T80" s="85">
        <f>$U$31-$B$38/100</f>
        <v>0.14985179999999998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-2.0768050320165401E-2</v>
      </c>
      <c r="G81" s="73">
        <f t="shared" si="7"/>
        <v>5.6251886418770853</v>
      </c>
      <c r="H81" s="73">
        <f t="shared" si="8"/>
        <v>1.0913945160060098E-2</v>
      </c>
      <c r="I81" s="73">
        <f t="shared" si="5"/>
        <v>9.139451600600982E-4</v>
      </c>
      <c r="J81" s="73">
        <f t="shared" si="9"/>
        <v>27.273578549311175</v>
      </c>
      <c r="K81" s="73">
        <f t="shared" si="10"/>
        <v>8.0756659233770928E-2</v>
      </c>
      <c r="L81" s="14"/>
      <c r="M81" s="56">
        <v>43013</v>
      </c>
      <c r="N81" s="57">
        <v>5.0000000000000001E-3</v>
      </c>
      <c r="O81" s="58">
        <f t="shared" si="11"/>
        <v>-4.1997050778799272</v>
      </c>
      <c r="T81" s="85">
        <f>$U$31+$B$38/100</f>
        <v>0.1500282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-1.5444585627049551E-2</v>
      </c>
      <c r="G82" s="73">
        <f t="shared" si="7"/>
        <v>7.2954763928209649</v>
      </c>
      <c r="H82" s="73">
        <f t="shared" si="8"/>
        <v>1.2069040856578591E-2</v>
      </c>
      <c r="I82" s="73">
        <f t="shared" si="5"/>
        <v>2.0690408565785905E-3</v>
      </c>
      <c r="J82" s="73">
        <f t="shared" si="9"/>
        <v>31.986572072009889</v>
      </c>
      <c r="K82" s="73">
        <f t="shared" si="10"/>
        <v>0.11506967022170837</v>
      </c>
      <c r="L82" s="14"/>
      <c r="M82" s="56"/>
      <c r="N82" s="57"/>
      <c r="O82" s="58" t="b">
        <f t="shared" si="11"/>
        <v>0</v>
      </c>
      <c r="T82" s="85">
        <f>$U$32-$B$38/100</f>
        <v>0.15867179999999997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-1.0121120933933699E-2</v>
      </c>
      <c r="G83" s="73">
        <f t="shared" si="7"/>
        <v>9.0907233716437652</v>
      </c>
      <c r="H83" s="73">
        <f t="shared" si="8"/>
        <v>1.3346388044060969E-2</v>
      </c>
      <c r="I83" s="73">
        <f t="shared" si="5"/>
        <v>3.3463880440609689E-3</v>
      </c>
      <c r="J83" s="73">
        <f t="shared" si="9"/>
        <v>36.04304681998768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0.15884819999999999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-4.7976562408178491E-3</v>
      </c>
      <c r="G84" s="73">
        <f t="shared" si="7"/>
        <v>10.883571863869157</v>
      </c>
      <c r="H84" s="73">
        <f t="shared" si="8"/>
        <v>1.475892541415672E-2</v>
      </c>
      <c r="I84" s="73">
        <f t="shared" si="5"/>
        <v>4.75892541415672E-3</v>
      </c>
      <c r="J84" s="73">
        <f t="shared" si="9"/>
        <v>39.021459807080639</v>
      </c>
      <c r="K84" s="73">
        <f t="shared" si="10"/>
        <v>0.21185539858339641</v>
      </c>
      <c r="M84" s="56"/>
      <c r="N84" s="57"/>
      <c r="O84" s="58" t="b">
        <f t="shared" si="11"/>
        <v>0</v>
      </c>
      <c r="T84" s="85">
        <f>$U$33-$B$38/100</f>
        <v>0.1674918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5.2580845229800374E-4</v>
      </c>
      <c r="G85" s="73">
        <f t="shared" si="7"/>
        <v>12.519087552988411</v>
      </c>
      <c r="H85" s="73">
        <f t="shared" si="8"/>
        <v>1.6320961046653516E-2</v>
      </c>
      <c r="I85" s="73">
        <f t="shared" si="5"/>
        <v>6.3209610466535161E-3</v>
      </c>
      <c r="J85" s="73">
        <f t="shared" si="9"/>
        <v>40.589504502545658</v>
      </c>
      <c r="K85" s="73">
        <f t="shared" si="10"/>
        <v>0.27425311775007361</v>
      </c>
      <c r="M85" s="56"/>
      <c r="N85" s="57"/>
      <c r="O85" s="58" t="b">
        <f t="shared" si="11"/>
        <v>0</v>
      </c>
      <c r="T85" s="85">
        <f>$U$33+$B$38/100</f>
        <v>0.16766820000000002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5.8492731454138549E-3</v>
      </c>
      <c r="G86" s="73">
        <f t="shared" si="7"/>
        <v>13.835731484405617</v>
      </c>
      <c r="H86" s="73">
        <f t="shared" si="8"/>
        <v>1.8048317340968217E-2</v>
      </c>
      <c r="I86" s="73">
        <f t="shared" si="5"/>
        <v>8.0483173409682165E-3</v>
      </c>
      <c r="J86" s="73">
        <f t="shared" si="9"/>
        <v>40.565067933858984</v>
      </c>
      <c r="K86" s="73">
        <f t="shared" si="10"/>
        <v>0.3445782583896756</v>
      </c>
      <c r="M86" s="56"/>
      <c r="N86" s="57"/>
      <c r="O86" s="58" t="b">
        <f t="shared" si="11"/>
        <v>0</v>
      </c>
      <c r="T86" s="85">
        <f>$U$34-$B$38/100</f>
        <v>0.17631179999999999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1.1172737838529706E-2</v>
      </c>
      <c r="G87" s="73">
        <f t="shared" si="7"/>
        <v>14.691285338330161</v>
      </c>
      <c r="H87" s="73">
        <f t="shared" si="8"/>
        <v>1.9958491286705505E-2</v>
      </c>
      <c r="I87" s="73">
        <f t="shared" si="5"/>
        <v>9.9584912867055047E-3</v>
      </c>
      <c r="J87" s="73">
        <f t="shared" si="9"/>
        <v>38.951024607195869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0.17648820000000001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1.6496202531645559E-2</v>
      </c>
      <c r="G88" s="73">
        <f t="shared" si="7"/>
        <v>14.988068988879862</v>
      </c>
      <c r="H88" s="73">
        <f t="shared" si="8"/>
        <v>2.2070831696719834E-2</v>
      </c>
      <c r="I88" s="73">
        <f t="shared" si="5"/>
        <v>1.2070831696719833E-2</v>
      </c>
      <c r="J88" s="73">
        <f t="shared" si="9"/>
        <v>35.934680319828914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0.18513179999999999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2.1819667224761412E-2</v>
      </c>
      <c r="G89" s="73">
        <f t="shared" si="7"/>
        <v>14.691285338330161</v>
      </c>
      <c r="H89" s="73">
        <f t="shared" si="8"/>
        <v>2.4406735197935937E-2</v>
      </c>
      <c r="I89" s="73">
        <f t="shared" si="5"/>
        <v>1.4406735197935937E-2</v>
      </c>
      <c r="J89" s="73">
        <f t="shared" si="9"/>
        <v>31.852014574104725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0.18530820000000001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2.7143131917877261E-2</v>
      </c>
      <c r="G90" s="73">
        <f t="shared" si="7"/>
        <v>13.835731484405617</v>
      </c>
      <c r="H90" s="73">
        <f t="shared" si="8"/>
        <v>2.6989862965186587E-2</v>
      </c>
      <c r="I90" s="73">
        <f t="shared" si="5"/>
        <v>1.6989862965186585E-2</v>
      </c>
      <c r="J90" s="73">
        <f t="shared" si="9"/>
        <v>27.126155474467392</v>
      </c>
      <c r="K90" s="73">
        <f t="shared" si="10"/>
        <v>0.6554217416103244</v>
      </c>
      <c r="M90" s="56"/>
      <c r="N90" s="57"/>
      <c r="O90" s="58" t="b">
        <f t="shared" si="11"/>
        <v>0</v>
      </c>
      <c r="T90" s="85">
        <f>$U$36-$B$38/100</f>
        <v>0.19395179999999998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3.2466596610993118E-2</v>
      </c>
      <c r="G91" s="73">
        <f t="shared" si="7"/>
        <v>12.51908755298841</v>
      </c>
      <c r="H91" s="73">
        <f t="shared" si="8"/>
        <v>2.9846380393439717E-2</v>
      </c>
      <c r="I91" s="73">
        <f t="shared" si="5"/>
        <v>1.9846380393439715E-2</v>
      </c>
      <c r="J91" s="73">
        <f t="shared" si="9"/>
        <v>22.195646948017352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0.1941282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3.7790061304109231E-2</v>
      </c>
      <c r="G92" s="73">
        <f t="shared" si="7"/>
        <v>10.883571863869072</v>
      </c>
      <c r="H92" s="73">
        <f t="shared" si="8"/>
        <v>3.3005222136138004E-2</v>
      </c>
      <c r="I92" s="73">
        <f t="shared" si="5"/>
        <v>2.3005222136138002E-2</v>
      </c>
      <c r="J92" s="73">
        <f t="shared" si="9"/>
        <v>17.449202810049687</v>
      </c>
      <c r="K92" s="73">
        <f t="shared" si="10"/>
        <v>0.78814460141660614</v>
      </c>
      <c r="M92" s="56"/>
      <c r="N92" s="57"/>
      <c r="O92" s="58" t="b">
        <f t="shared" si="11"/>
        <v>0</v>
      </c>
      <c r="T92" s="85">
        <f>$U$37-$B$38/100</f>
        <v>0.20277179999999997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4.311352599722508E-2</v>
      </c>
      <c r="G93" s="73">
        <f t="shared" si="7"/>
        <v>9.0907233716436746</v>
      </c>
      <c r="H93" s="73">
        <f t="shared" si="8"/>
        <v>3.6498385194314829E-2</v>
      </c>
      <c r="I93" s="73">
        <f t="shared" si="5"/>
        <v>2.6498385194314827E-2</v>
      </c>
      <c r="J93" s="73">
        <f t="shared" si="9"/>
        <v>13.179884167169632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0.2029482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4.8436990690340936E-2</v>
      </c>
      <c r="G94" s="73">
        <f t="shared" si="7"/>
        <v>7.295476392820877</v>
      </c>
      <c r="H94" s="73">
        <f t="shared" si="8"/>
        <v>4.0361253025290353E-2</v>
      </c>
      <c r="I94" s="73">
        <f t="shared" si="5"/>
        <v>3.0361253025290351E-2</v>
      </c>
      <c r="J94" s="73">
        <f t="shared" si="9"/>
        <v>9.56479832172408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0.21159179999999997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5.3760455383456779E-2</v>
      </c>
      <c r="G95" s="73">
        <f t="shared" si="7"/>
        <v>5.625188641877009</v>
      </c>
      <c r="H95" s="73">
        <f t="shared" si="8"/>
        <v>4.4632953953953412E-2</v>
      </c>
      <c r="I95" s="73">
        <f t="shared" si="5"/>
        <v>3.463295395395341E-2</v>
      </c>
      <c r="J95" s="73">
        <f t="shared" si="9"/>
        <v>6.6691158490845108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0.21176819999999999</v>
      </c>
      <c r="U95" s="28">
        <f>$X$39</f>
        <v>1.4351732254083067</v>
      </c>
    </row>
    <row r="96" spans="5:21" ht="15" x14ac:dyDescent="0.2">
      <c r="E96" s="72">
        <v>1.6000000000000101</v>
      </c>
      <c r="F96" s="73">
        <f t="shared" si="6"/>
        <v>5.9083920076572635E-2</v>
      </c>
      <c r="G96" s="73">
        <f t="shared" si="7"/>
        <v>4.1672422406743257</v>
      </c>
      <c r="H96" s="73">
        <f t="shared" si="8"/>
        <v>4.9356757517103785E-2</v>
      </c>
      <c r="I96" s="73">
        <f t="shared" si="5"/>
        <v>3.9356757517103783E-2</v>
      </c>
      <c r="J96" s="73">
        <f t="shared" si="9"/>
        <v>4.4677506510654723</v>
      </c>
      <c r="K96" s="73">
        <f t="shared" si="10"/>
        <v>0.94520070830044323</v>
      </c>
      <c r="M96" s="56"/>
      <c r="N96" s="57"/>
      <c r="O96" s="58" t="b">
        <f t="shared" si="11"/>
        <v>0</v>
      </c>
      <c r="T96" s="85">
        <f>$U$39-$B$38/100</f>
        <v>0.22041179999999999</v>
      </c>
      <c r="U96" s="28">
        <f>$X$39</f>
        <v>1.4351732254083067</v>
      </c>
    </row>
    <row r="97" spans="5:21" ht="15" x14ac:dyDescent="0.2">
      <c r="E97" s="72">
        <v>1.80000000000001</v>
      </c>
      <c r="F97" s="73">
        <f t="shared" si="6"/>
        <v>6.4407384769688492E-2</v>
      </c>
      <c r="G97" s="73">
        <f t="shared" si="7"/>
        <v>2.9661193546747389</v>
      </c>
      <c r="H97" s="73">
        <f t="shared" si="8"/>
        <v>5.4580512755562291E-2</v>
      </c>
      <c r="I97" s="73">
        <f t="shared" si="5"/>
        <v>4.4580512755562289E-2</v>
      </c>
      <c r="J97" s="73">
        <f t="shared" si="9"/>
        <v>2.8756618287421274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0.22058820000000001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6.9730849462804348E-2</v>
      </c>
      <c r="G98" s="73">
        <f t="shared" si="7"/>
        <v>2.0284145617799059</v>
      </c>
      <c r="H98" s="73">
        <f t="shared" si="8"/>
        <v>6.0357132893662312E-2</v>
      </c>
      <c r="I98" s="73">
        <f t="shared" si="5"/>
        <v>5.035713289366231E-2</v>
      </c>
      <c r="J98" s="73">
        <f t="shared" si="9"/>
        <v>1.778340500229193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7.505431415592019E-2</v>
      </c>
      <c r="G99" s="73">
        <f t="shared" si="7"/>
        <v>1.3327633370840375</v>
      </c>
      <c r="H99" s="73">
        <f t="shared" si="8"/>
        <v>6.6745131315607817E-2</v>
      </c>
      <c r="I99" s="73">
        <f t="shared" si="5"/>
        <v>5.6745131315607815E-2</v>
      </c>
      <c r="J99" s="73">
        <f t="shared" si="9"/>
        <v>1.0566234542309925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8.0377778849036047E-2</v>
      </c>
      <c r="G100" s="73">
        <f t="shared" si="7"/>
        <v>0.84135169803238485</v>
      </c>
      <c r="H100" s="73">
        <f t="shared" si="8"/>
        <v>7.3809214267788886E-2</v>
      </c>
      <c r="I100" s="73">
        <f t="shared" si="5"/>
        <v>6.3809214267788891E-2</v>
      </c>
      <c r="J100" s="73">
        <f t="shared" si="9"/>
        <v>0.60318953020492561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8.5701243542151889E-2</v>
      </c>
      <c r="G101" s="73">
        <f t="shared" si="7"/>
        <v>0.51030560045792606</v>
      </c>
      <c r="H101" s="73">
        <f t="shared" si="8"/>
        <v>8.1620936290741075E-2</v>
      </c>
      <c r="I101" s="73">
        <f t="shared" si="5"/>
        <v>7.162093629074108E-2</v>
      </c>
      <c r="J101" s="73">
        <f t="shared" si="9"/>
        <v>0.3308381346533793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9.1024708235267746E-2</v>
      </c>
      <c r="G102" s="73">
        <f t="shared" si="7"/>
        <v>0.29737969684351517</v>
      </c>
      <c r="H102" s="73">
        <f t="shared" si="8"/>
        <v>9.0259425019845657E-2</v>
      </c>
      <c r="I102" s="73">
        <f t="shared" si="5"/>
        <v>8.0259425019845662E-2</v>
      </c>
      <c r="J102" s="73">
        <f t="shared" si="9"/>
        <v>0.1743434167747788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9.6348172928383602E-2</v>
      </c>
      <c r="G103" s="73">
        <f t="shared" si="7"/>
        <v>0.16650240651239823</v>
      </c>
      <c r="H103" s="73">
        <f t="shared" si="8"/>
        <v>9.9812182696528237E-2</v>
      </c>
      <c r="I103" s="73">
        <f t="shared" si="5"/>
        <v>8.9812182696528242E-2</v>
      </c>
      <c r="J103" s="73">
        <f t="shared" si="9"/>
        <v>8.8272161921069542E-2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0.10167163762149944</v>
      </c>
      <c r="G104" s="73">
        <f t="shared" si="7"/>
        <v>8.9569043429471917E-2</v>
      </c>
      <c r="H104" s="73">
        <f t="shared" si="8"/>
        <v>0.11037597250873964</v>
      </c>
      <c r="I104" s="73">
        <f t="shared" si="5"/>
        <v>0.10037597250873964</v>
      </c>
      <c r="J104" s="73">
        <f t="shared" si="9"/>
        <v>4.2940806230048582E-2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0.1069951023146153</v>
      </c>
      <c r="G105" s="73">
        <f t="shared" si="7"/>
        <v>4.6293879625667396E-2</v>
      </c>
      <c r="H105" s="73">
        <f t="shared" si="8"/>
        <v>0.12205779873876857</v>
      </c>
      <c r="I105" s="73">
        <f t="shared" si="5"/>
        <v>0.11205779873876857</v>
      </c>
      <c r="J105" s="73">
        <f t="shared" si="9"/>
        <v>2.0069883239886729E-2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0.11231856700773116</v>
      </c>
      <c r="G106" s="73">
        <f t="shared" si="7"/>
        <v>2.298886027759494E-2</v>
      </c>
      <c r="H106" s="73">
        <f t="shared" si="8"/>
        <v>0.13497599064664273</v>
      </c>
      <c r="I106" s="73">
        <f t="shared" si="5"/>
        <v>0.12497599064664273</v>
      </c>
      <c r="J106" s="73">
        <f t="shared" si="9"/>
        <v>9.0125506474603278E-3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0.11764203170084701</v>
      </c>
      <c r="G107" s="73">
        <f t="shared" si="7"/>
        <v>1.0968305140409265E-2</v>
      </c>
      <c r="H107" s="73">
        <f t="shared" si="8"/>
        <v>0.14926140106814775</v>
      </c>
      <c r="I107" s="73">
        <f t="shared" si="5"/>
        <v>0.13926140106814774</v>
      </c>
      <c r="J107" s="73">
        <f t="shared" si="9"/>
        <v>3.8884705263362877E-3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0.12296549639396286</v>
      </c>
      <c r="G108" s="73">
        <f t="shared" si="7"/>
        <v>5.0279370101935852E-3</v>
      </c>
      <c r="H108" s="73">
        <f t="shared" si="8"/>
        <v>0.16505873186847841</v>
      </c>
      <c r="I108" s="73">
        <f t="shared" si="5"/>
        <v>0.15505873186847841</v>
      </c>
      <c r="J108" s="73">
        <f t="shared" si="9"/>
        <v>1.6119001114494214E-3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0.12828896108707871</v>
      </c>
      <c r="G109" s="73">
        <f t="shared" si="7"/>
        <v>2.2144626161515035E-3</v>
      </c>
      <c r="H109" s="73">
        <f t="shared" si="8"/>
        <v>0.18252799967750122</v>
      </c>
      <c r="I109" s="73">
        <f t="shared" si="5"/>
        <v>0.17252799967750121</v>
      </c>
      <c r="J109" s="73">
        <f t="shared" si="9"/>
        <v>6.4198615156280158E-4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0.13361242578019455</v>
      </c>
      <c r="G110" s="73">
        <f t="shared" si="7"/>
        <v>9.3707661186547702E-4</v>
      </c>
      <c r="H110" s="73">
        <f t="shared" si="8"/>
        <v>0.20184615675356707</v>
      </c>
      <c r="I110" s="73">
        <f t="shared" si="5"/>
        <v>0.19184615675356706</v>
      </c>
      <c r="J110" s="73">
        <f t="shared" si="9"/>
        <v>2.4566394132947208E-4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0.13893589047331042</v>
      </c>
      <c r="G111" s="73">
        <f t="shared" si="7"/>
        <v>3.8098691923701901E-4</v>
      </c>
      <c r="H111" s="73">
        <f t="shared" si="8"/>
        <v>0.22320888339416506</v>
      </c>
      <c r="I111" s="73">
        <f t="shared" si="5"/>
        <v>0.21320888339416505</v>
      </c>
      <c r="J111" s="73">
        <f t="shared" si="9"/>
        <v>9.0320304118618664E-5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0.14425935516642624</v>
      </c>
      <c r="G112" s="73">
        <f t="shared" si="7"/>
        <v>1.4882409556146877E-4</v>
      </c>
      <c r="H112" s="73">
        <f t="shared" si="8"/>
        <v>0.24683257004936499</v>
      </c>
      <c r="I112" s="73">
        <f t="shared" si="5"/>
        <v>0.23683257004936498</v>
      </c>
      <c r="J112" s="73">
        <f t="shared" si="9"/>
        <v>3.1904914710950902E-5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0.14958281985954183</v>
      </c>
      <c r="G113" s="73">
        <f t="shared" si="7"/>
        <v>5.5855334840743097E-5</v>
      </c>
      <c r="H113" s="73">
        <f t="shared" si="8"/>
        <v>0.27295650921556058</v>
      </c>
      <c r="I113" s="73">
        <f t="shared" si="5"/>
        <v>0.26295650921556057</v>
      </c>
      <c r="J113" s="73">
        <f t="shared" si="9"/>
        <v>1.0828243302307894E-5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-0.2868765522812079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0.15764344645028724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-3.584581281822669E-6</v>
      </c>
      <c r="H120" s="69" t="s">
        <v>50</v>
      </c>
      <c r="I120" s="79">
        <f>IF($B$9&gt;3,INDEX(XX!$C$4:$C$150,$B$9))</f>
        <v>0.2172</v>
      </c>
      <c r="J120" s="79">
        <f>IF($B$9&gt;3,INDEX(XX!$D$4:$D$150,$B$9))</f>
        <v>0.28299999999999997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1E-3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0.15764344286570597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43013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3.4598517752487956E-3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132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35829</v>
      </c>
      <c r="N3" s="57">
        <v>0.06</v>
      </c>
      <c r="O3" s="58">
        <f t="shared" ref="O3:O66" si="0">IF($N3&gt;0,LN($N3+$B$26))</f>
        <v>-2.8134107167600364</v>
      </c>
      <c r="T3" s="69" t="s">
        <v>109</v>
      </c>
      <c r="U3" s="82">
        <f>$B$21</f>
        <v>0.11565149540265215</v>
      </c>
      <c r="V3" s="82">
        <f t="shared" ref="V3:V10" si="1">U3</f>
        <v>0.11565149540265215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35928</v>
      </c>
      <c r="N4" s="57">
        <v>0.05</v>
      </c>
      <c r="O4" s="58">
        <f t="shared" si="0"/>
        <v>-2.9957322735539909</v>
      </c>
      <c r="T4" s="69" t="s">
        <v>111</v>
      </c>
      <c r="U4" s="82">
        <f>$B$31</f>
        <v>0.12054337826757826</v>
      </c>
      <c r="V4" s="82">
        <f t="shared" si="1"/>
        <v>0.12054337826757826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36034</v>
      </c>
      <c r="N5" s="57">
        <v>0.06</v>
      </c>
      <c r="O5" s="58">
        <f t="shared" si="0"/>
        <v>-2.8134107167600364</v>
      </c>
      <c r="T5" s="69" t="s">
        <v>110</v>
      </c>
      <c r="U5" s="82">
        <f>$B$22</f>
        <v>0.12884827617421957</v>
      </c>
      <c r="V5" s="82">
        <f t="shared" si="1"/>
        <v>0.12884827617421957</v>
      </c>
    </row>
    <row r="6" spans="1:24" ht="15" customHeight="1" x14ac:dyDescent="0.25">
      <c r="A6" s="107" t="s">
        <v>18</v>
      </c>
      <c r="B6" s="116">
        <v>0.05</v>
      </c>
      <c r="C6" s="18"/>
      <c r="M6" s="56">
        <v>36118</v>
      </c>
      <c r="N6" s="57">
        <v>0.05</v>
      </c>
      <c r="O6" s="58">
        <f t="shared" si="0"/>
        <v>-2.9957322735539909</v>
      </c>
      <c r="T6" s="69" t="s">
        <v>29</v>
      </c>
      <c r="U6" s="82">
        <f>$B$32</f>
        <v>0.14720966922666462</v>
      </c>
      <c r="V6" s="82">
        <f t="shared" si="1"/>
        <v>0.14720966922666462</v>
      </c>
    </row>
    <row r="7" spans="1:24" ht="15" customHeight="1" x14ac:dyDescent="0.2">
      <c r="D7" s="4"/>
      <c r="F7" s="5"/>
      <c r="M7" s="56">
        <v>36214</v>
      </c>
      <c r="N7" s="57">
        <v>0.05</v>
      </c>
      <c r="O7" s="58">
        <f t="shared" si="0"/>
        <v>-2.9957322735539909</v>
      </c>
      <c r="T7" s="69" t="s">
        <v>31</v>
      </c>
      <c r="U7" s="82">
        <f>$C$21</f>
        <v>-2.5540384291541027E-2</v>
      </c>
      <c r="V7" s="82">
        <f t="shared" si="1"/>
        <v>-2.5540384291541027E-2</v>
      </c>
    </row>
    <row r="8" spans="1:24" ht="15" customHeight="1" x14ac:dyDescent="0.25">
      <c r="A8" s="140" t="s">
        <v>12</v>
      </c>
      <c r="B8" s="140"/>
      <c r="C8" s="140"/>
      <c r="D8" s="4"/>
      <c r="M8" s="56">
        <v>36305</v>
      </c>
      <c r="N8" s="57">
        <v>0.05</v>
      </c>
      <c r="O8" s="58">
        <f t="shared" si="0"/>
        <v>-2.9957322735539909</v>
      </c>
      <c r="T8" s="69" t="s">
        <v>32</v>
      </c>
      <c r="U8" s="82">
        <f>$C$31</f>
        <v>-3.8776059268682008</v>
      </c>
      <c r="V8" s="82">
        <f t="shared" si="1"/>
        <v>-3.8776059268682008</v>
      </c>
    </row>
    <row r="9" spans="1:24" ht="15" customHeight="1" x14ac:dyDescent="0.2">
      <c r="A9" s="101" t="s">
        <v>11</v>
      </c>
      <c r="B9" s="59">
        <f>COUNT($M$3:$M252)</f>
        <v>36</v>
      </c>
      <c r="C9" s="60"/>
      <c r="D9" s="4"/>
      <c r="M9" s="56">
        <v>36424</v>
      </c>
      <c r="N9" s="57">
        <v>2.3E-2</v>
      </c>
      <c r="O9" s="58">
        <f t="shared" si="0"/>
        <v>-3.7722610630529876</v>
      </c>
      <c r="T9" s="69" t="s">
        <v>112</v>
      </c>
      <c r="U9" s="82">
        <f>$C$22</f>
        <v>-3.8737165063108439E-2</v>
      </c>
      <c r="V9" s="82">
        <f t="shared" si="1"/>
        <v>-3.8737165063108439E-2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>
        <v>36509</v>
      </c>
      <c r="N10" s="57">
        <v>3.9E-2</v>
      </c>
      <c r="O10" s="58">
        <f t="shared" si="0"/>
        <v>-3.2441936328524905</v>
      </c>
      <c r="T10" s="69" t="s">
        <v>113</v>
      </c>
      <c r="U10" s="82">
        <f>$C$32</f>
        <v>-4.0566766336216595</v>
      </c>
      <c r="V10" s="82">
        <f t="shared" si="1"/>
        <v>-4.0566766336216595</v>
      </c>
    </row>
    <row r="11" spans="1:24" ht="15" customHeight="1" x14ac:dyDescent="0.2">
      <c r="A11" s="102" t="s">
        <v>8</v>
      </c>
      <c r="B11" s="61">
        <f>MAX($N$3:$N$252)</f>
        <v>0.14000000000000001</v>
      </c>
      <c r="C11" s="60"/>
      <c r="D11" s="4"/>
      <c r="M11" s="56">
        <v>36594</v>
      </c>
      <c r="N11" s="57">
        <v>1.7999999999999999E-2</v>
      </c>
      <c r="O11" s="58">
        <f t="shared" si="0"/>
        <v>-4.0173835210859723</v>
      </c>
      <c r="T11" s="69" t="s">
        <v>68</v>
      </c>
      <c r="U11" s="82">
        <f>$B$12</f>
        <v>0.05</v>
      </c>
      <c r="V11" s="82">
        <f>U11</f>
        <v>0.05</v>
      </c>
    </row>
    <row r="12" spans="1:24" ht="15" customHeight="1" x14ac:dyDescent="0.2">
      <c r="A12" s="102" t="s">
        <v>68</v>
      </c>
      <c r="B12" s="62">
        <f>MEDIAN($N$3:$N$252)</f>
        <v>0.05</v>
      </c>
      <c r="C12" s="50"/>
      <c r="D12" s="4"/>
      <c r="M12" s="56">
        <v>36811</v>
      </c>
      <c r="N12" s="57">
        <v>7.0000000000000007E-2</v>
      </c>
      <c r="O12" s="58">
        <f t="shared" si="0"/>
        <v>-2.6592600369327779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36872</v>
      </c>
      <c r="N13" s="57">
        <v>7.0000000000000007E-2</v>
      </c>
      <c r="O13" s="58">
        <f t="shared" si="0"/>
        <v>-2.6592600369327779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36951</v>
      </c>
      <c r="N14" s="57">
        <v>0.05</v>
      </c>
      <c r="O14" s="58">
        <f t="shared" si="0"/>
        <v>-2.9957322735539909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37041</v>
      </c>
      <c r="N15" s="57">
        <v>0.05</v>
      </c>
      <c r="O15" s="58">
        <f t="shared" si="0"/>
        <v>-2.9957322735539909</v>
      </c>
      <c r="T15" s="69">
        <v>1</v>
      </c>
      <c r="U15" s="77">
        <f t="shared" ref="U15:U39" si="3">$B$36+T15*$B$38</f>
        <v>5.8800000000000007E-3</v>
      </c>
      <c r="V15" s="84">
        <f>FREQUENCY($N$3:$N$252,$U$15:$U$39)</f>
        <v>9</v>
      </c>
      <c r="W15" s="79">
        <f t="shared" ref="W15:W39" si="4">(U15+U14)/2</f>
        <v>2.9400000000000003E-3</v>
      </c>
      <c r="X15" s="80">
        <f t="shared" si="2"/>
        <v>42.517006802721085</v>
      </c>
    </row>
    <row r="16" spans="1:24" ht="15" customHeight="1" x14ac:dyDescent="0.2">
      <c r="A16" s="101" t="s">
        <v>73</v>
      </c>
      <c r="B16" s="63">
        <f>AVERAGE($N$3:$N$252)</f>
        <v>4.5055555555555571E-2</v>
      </c>
      <c r="C16" s="60"/>
      <c r="M16" s="56">
        <v>37109</v>
      </c>
      <c r="N16" s="57">
        <v>0.14000000000000001</v>
      </c>
      <c r="O16" s="58">
        <f t="shared" si="0"/>
        <v>-1.9661128563728327</v>
      </c>
      <c r="T16" s="69">
        <v>2</v>
      </c>
      <c r="U16" s="77">
        <f t="shared" si="3"/>
        <v>1.1760000000000001E-2</v>
      </c>
      <c r="V16" s="84">
        <f t="array" ref="V16:V40">FREQUENCY($N$3:$N$252,$U$15:$U$39)</f>
        <v>9</v>
      </c>
      <c r="W16" s="79">
        <f t="shared" si="4"/>
        <v>8.8200000000000014E-3</v>
      </c>
      <c r="X16" s="80">
        <f t="shared" si="2"/>
        <v>42.517006802721085</v>
      </c>
    </row>
    <row r="17" spans="1:24" ht="15" customHeight="1" x14ac:dyDescent="0.2">
      <c r="A17" s="102" t="s">
        <v>75</v>
      </c>
      <c r="B17" s="62">
        <f>STDEV($N$3:$N$252)</f>
        <v>3.6018998514232084E-2</v>
      </c>
      <c r="C17" s="60"/>
      <c r="D17" s="4"/>
      <c r="M17" s="56">
        <v>37194</v>
      </c>
      <c r="N17" s="57">
        <v>0.05</v>
      </c>
      <c r="O17" s="58">
        <f t="shared" si="0"/>
        <v>-2.9957322735539909</v>
      </c>
      <c r="T17" s="69">
        <v>3</v>
      </c>
      <c r="U17" s="77">
        <f t="shared" si="3"/>
        <v>1.7640000000000003E-2</v>
      </c>
      <c r="V17" s="84">
        <v>0</v>
      </c>
      <c r="W17" s="79">
        <f t="shared" si="4"/>
        <v>1.4700000000000001E-2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-0.14386735889017963</v>
      </c>
      <c r="C18" s="114" t="s">
        <v>45</v>
      </c>
      <c r="D18" s="4"/>
      <c r="J18" s="6"/>
      <c r="M18" s="56">
        <v>37384</v>
      </c>
      <c r="N18" s="57">
        <v>0.05</v>
      </c>
      <c r="O18" s="58">
        <f t="shared" si="0"/>
        <v>-2.9957322735539909</v>
      </c>
      <c r="T18" s="69">
        <v>4</v>
      </c>
      <c r="U18" s="77">
        <f t="shared" si="3"/>
        <v>2.3520000000000003E-2</v>
      </c>
      <c r="V18" s="84">
        <v>1</v>
      </c>
      <c r="W18" s="79">
        <f t="shared" si="4"/>
        <v>2.0580000000000001E-2</v>
      </c>
      <c r="X18" s="80">
        <f t="shared" si="2"/>
        <v>4.7241118669690092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mäßig</v>
      </c>
      <c r="C19" s="64"/>
      <c r="D19" s="4"/>
      <c r="M19" s="56">
        <v>37474</v>
      </c>
      <c r="N19" s="57">
        <v>0.05</v>
      </c>
      <c r="O19" s="58">
        <f t="shared" si="0"/>
        <v>-2.9957322735539909</v>
      </c>
      <c r="T19" s="69">
        <v>5</v>
      </c>
      <c r="U19" s="77">
        <f t="shared" si="3"/>
        <v>2.9400000000000003E-2</v>
      </c>
      <c r="V19" s="84">
        <v>2</v>
      </c>
      <c r="W19" s="79">
        <f t="shared" si="4"/>
        <v>2.6460000000000004E-2</v>
      </c>
      <c r="X19" s="80">
        <f t="shared" si="2"/>
        <v>9.4482237339380184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37574</v>
      </c>
      <c r="N20" s="57">
        <v>0.05</v>
      </c>
      <c r="O20" s="58">
        <f t="shared" si="0"/>
        <v>-2.9957322735539909</v>
      </c>
      <c r="T20" s="69">
        <v>6</v>
      </c>
      <c r="U20" s="77">
        <f t="shared" si="3"/>
        <v>3.5280000000000006E-2</v>
      </c>
      <c r="V20" s="84">
        <v>0</v>
      </c>
      <c r="W20" s="79">
        <f t="shared" si="4"/>
        <v>3.2340000000000008E-2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0.11565149540265215</v>
      </c>
      <c r="C21" s="62">
        <f>NORMINV(0.025,$B$16,$B$17)</f>
        <v>-2.5540384291541027E-2</v>
      </c>
      <c r="D21" s="4"/>
      <c r="M21" s="56">
        <v>37679</v>
      </c>
      <c r="N21" s="57">
        <v>0.09</v>
      </c>
      <c r="O21" s="58">
        <f t="shared" si="0"/>
        <v>-2.4079456086518722</v>
      </c>
      <c r="T21" s="69">
        <v>7</v>
      </c>
      <c r="U21" s="77">
        <f t="shared" si="3"/>
        <v>4.1160000000000002E-2</v>
      </c>
      <c r="V21" s="84">
        <v>0</v>
      </c>
      <c r="W21" s="79">
        <f t="shared" si="4"/>
        <v>3.8220000000000004E-2</v>
      </c>
      <c r="X21" s="80">
        <f t="shared" si="2"/>
        <v>0</v>
      </c>
    </row>
    <row r="22" spans="1:24" ht="15" customHeight="1" x14ac:dyDescent="0.2">
      <c r="A22" s="104" t="s">
        <v>77</v>
      </c>
      <c r="B22" s="62">
        <f>NORMINV(0.99,$B$16,$B$17)</f>
        <v>0.12884827617421957</v>
      </c>
      <c r="C22" s="62">
        <f>NORMINV(0.01,B16,B17)</f>
        <v>-3.8737165063108439E-2</v>
      </c>
      <c r="M22" s="56">
        <v>37762</v>
      </c>
      <c r="N22" s="57">
        <v>0.12</v>
      </c>
      <c r="O22" s="58">
        <f t="shared" si="0"/>
        <v>-2.120263536200091</v>
      </c>
      <c r="T22" s="69">
        <v>8</v>
      </c>
      <c r="U22" s="77">
        <f t="shared" si="3"/>
        <v>4.7040000000000005E-2</v>
      </c>
      <c r="V22" s="84">
        <v>1</v>
      </c>
      <c r="W22" s="79">
        <f t="shared" si="4"/>
        <v>4.41E-2</v>
      </c>
      <c r="X22" s="80">
        <f t="shared" si="2"/>
        <v>4.7241118669690092</v>
      </c>
    </row>
    <row r="23" spans="1:24" ht="15" customHeight="1" x14ac:dyDescent="0.25">
      <c r="A23" s="112" t="s">
        <v>81</v>
      </c>
      <c r="B23" s="96">
        <f>MAX($B$22+0.5*$B$6,$B$6)</f>
        <v>0.15384827617421956</v>
      </c>
      <c r="E23" s="144" t="s">
        <v>80</v>
      </c>
      <c r="F23" s="144"/>
      <c r="G23" s="144"/>
      <c r="M23" s="56">
        <v>37889</v>
      </c>
      <c r="N23" s="57">
        <v>0.05</v>
      </c>
      <c r="O23" s="58">
        <f t="shared" si="0"/>
        <v>-2.9957322735539909</v>
      </c>
      <c r="T23" s="69">
        <v>9</v>
      </c>
      <c r="U23" s="77">
        <f t="shared" si="3"/>
        <v>5.2920000000000009E-2</v>
      </c>
      <c r="V23" s="84">
        <v>0</v>
      </c>
      <c r="W23" s="79">
        <f t="shared" si="4"/>
        <v>4.9980000000000011E-2</v>
      </c>
      <c r="X23" s="80">
        <f t="shared" si="2"/>
        <v>0</v>
      </c>
    </row>
    <row r="24" spans="1:24" ht="15" customHeight="1" x14ac:dyDescent="0.2">
      <c r="M24" s="56">
        <v>38043</v>
      </c>
      <c r="N24" s="57">
        <v>0.05</v>
      </c>
      <c r="O24" s="58">
        <f t="shared" si="0"/>
        <v>-2.9957322735539909</v>
      </c>
      <c r="T24" s="69">
        <v>10</v>
      </c>
      <c r="U24" s="77">
        <f t="shared" si="3"/>
        <v>5.8800000000000005E-2</v>
      </c>
      <c r="V24" s="84">
        <v>13</v>
      </c>
      <c r="W24" s="79">
        <f t="shared" si="4"/>
        <v>5.5860000000000007E-2</v>
      </c>
      <c r="X24" s="80">
        <f t="shared" si="2"/>
        <v>61.413454270597121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38142</v>
      </c>
      <c r="N25" s="57">
        <v>0.1</v>
      </c>
      <c r="O25" s="58">
        <f t="shared" si="0"/>
        <v>-2.3025850929940455</v>
      </c>
      <c r="Q25" s="75" t="s">
        <v>68</v>
      </c>
      <c r="R25" s="75">
        <f>MEDIAN($O$3:$O$252)</f>
        <v>-2.9957322735539909</v>
      </c>
      <c r="T25" s="69">
        <v>11</v>
      </c>
      <c r="U25" s="77">
        <f t="shared" si="3"/>
        <v>6.4680000000000001E-2</v>
      </c>
      <c r="V25" s="84">
        <v>0</v>
      </c>
      <c r="W25" s="79">
        <f t="shared" si="4"/>
        <v>6.1740000000000003E-2</v>
      </c>
      <c r="X25" s="80">
        <f t="shared" si="2"/>
        <v>0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38203</v>
      </c>
      <c r="N26" s="57">
        <v>0.05</v>
      </c>
      <c r="O26" s="58">
        <f t="shared" si="0"/>
        <v>-2.9957322735539909</v>
      </c>
      <c r="Q26" s="75" t="s">
        <v>73</v>
      </c>
      <c r="R26" s="75">
        <f>AVERAGE($O$3:$O$252)</f>
        <v>-2.9196704226594181</v>
      </c>
      <c r="T26" s="69">
        <v>12</v>
      </c>
      <c r="U26" s="77">
        <f t="shared" si="3"/>
        <v>7.0560000000000012E-2</v>
      </c>
      <c r="V26" s="84">
        <v>2</v>
      </c>
      <c r="W26" s="79">
        <f t="shared" si="4"/>
        <v>6.7620000000000013E-2</v>
      </c>
      <c r="X26" s="80">
        <f t="shared" si="2"/>
        <v>9.4482237339380184</v>
      </c>
    </row>
    <row r="27" spans="1:24" ht="15" customHeight="1" x14ac:dyDescent="0.2">
      <c r="A27" s="65" t="s">
        <v>17</v>
      </c>
      <c r="B27" s="62">
        <f>EXP($R$26)</f>
        <v>5.3951465551077611E-2</v>
      </c>
      <c r="C27" s="62"/>
      <c r="E27" s="7" t="e">
        <f>STDEV(C50:C199)</f>
        <v>#DIV/0!</v>
      </c>
      <c r="F27" s="7" t="e">
        <f>NORMINV(0.025,$E26,$E27)</f>
        <v>#DIV/0!</v>
      </c>
      <c r="M27" s="56">
        <v>38287</v>
      </c>
      <c r="N27" s="57">
        <v>0.1</v>
      </c>
      <c r="O27" s="58">
        <f t="shared" si="0"/>
        <v>-2.3025850929940455</v>
      </c>
      <c r="Q27" s="75" t="s">
        <v>104</v>
      </c>
      <c r="R27" s="75">
        <f>STDEV($O$3:$O$252)</f>
        <v>0.48875158511322458</v>
      </c>
      <c r="T27" s="69">
        <v>13</v>
      </c>
      <c r="U27" s="77">
        <f t="shared" si="3"/>
        <v>7.6440000000000008E-2</v>
      </c>
      <c r="V27" s="84">
        <v>3</v>
      </c>
      <c r="W27" s="79">
        <f t="shared" si="4"/>
        <v>7.350000000000001E-2</v>
      </c>
      <c r="X27" s="80">
        <f t="shared" si="2"/>
        <v>14.172335600907028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0.1631004326948487</v>
      </c>
      <c r="C28" s="115" t="s">
        <v>45</v>
      </c>
      <c r="F28" s="7" t="e">
        <f>NORMINV(0.01,$E$26,$E$27)</f>
        <v>#DIV/0!</v>
      </c>
      <c r="M28" s="56">
        <v>40288</v>
      </c>
      <c r="N28" s="57">
        <v>0</v>
      </c>
      <c r="O28" s="58" t="b">
        <f t="shared" si="0"/>
        <v>0</v>
      </c>
      <c r="Q28" s="75" t="s">
        <v>108</v>
      </c>
      <c r="R28" s="75">
        <f>NORMINV(0.025,$R$26,$R$27)</f>
        <v>-3.8776059268682008</v>
      </c>
      <c r="T28" s="69">
        <v>14</v>
      </c>
      <c r="U28" s="77">
        <f t="shared" si="3"/>
        <v>8.2320000000000004E-2</v>
      </c>
      <c r="V28" s="84">
        <v>0</v>
      </c>
      <c r="W28" s="79">
        <f t="shared" si="4"/>
        <v>7.9380000000000006E-2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40478</v>
      </c>
      <c r="N29" s="57">
        <v>0</v>
      </c>
      <c r="O29" s="58" t="b">
        <f t="shared" si="0"/>
        <v>0</v>
      </c>
      <c r="Q29" s="75" t="s">
        <v>107</v>
      </c>
      <c r="R29" s="75">
        <f>NORMINV(0.01,$R$26,$R$27)</f>
        <v>-4.0566766336216595</v>
      </c>
      <c r="T29" s="69">
        <v>15</v>
      </c>
      <c r="U29" s="77">
        <f t="shared" si="3"/>
        <v>8.8200000000000014E-2</v>
      </c>
      <c r="V29" s="84">
        <v>0</v>
      </c>
      <c r="W29" s="79">
        <f t="shared" si="4"/>
        <v>8.5260000000000002E-2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40665</v>
      </c>
      <c r="N30" s="57">
        <v>0</v>
      </c>
      <c r="O30" s="58" t="b">
        <f t="shared" si="0"/>
        <v>0</v>
      </c>
      <c r="Q30" s="75" t="s">
        <v>105</v>
      </c>
      <c r="R30" s="75">
        <f>NORMINV(0.95,$R$26,$R$27)</f>
        <v>-2.1157456052076498</v>
      </c>
      <c r="T30" s="69">
        <v>16</v>
      </c>
      <c r="U30" s="77">
        <f t="shared" si="3"/>
        <v>9.4080000000000011E-2</v>
      </c>
      <c r="V30" s="84">
        <v>0</v>
      </c>
      <c r="W30" s="79">
        <f t="shared" si="4"/>
        <v>9.1140000000000013E-2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0.12054337826757826</v>
      </c>
      <c r="C31" s="62">
        <f>NORMINV(0.025,$R$26,$R$27)</f>
        <v>-3.8776059268682008</v>
      </c>
      <c r="E31" s="7" t="e">
        <f>NORMINV(0.98,$E$26,$E$27)</f>
        <v>#DIV/0!</v>
      </c>
      <c r="M31" s="56">
        <v>40835</v>
      </c>
      <c r="N31" s="57">
        <v>0</v>
      </c>
      <c r="O31" s="58" t="b">
        <f t="shared" si="0"/>
        <v>0</v>
      </c>
      <c r="Q31" s="75" t="s">
        <v>106</v>
      </c>
      <c r="R31" s="75">
        <f>NORMINV(0.98,$R$26,$R$27)</f>
        <v>-1.915897387163557</v>
      </c>
      <c r="T31" s="69">
        <v>17</v>
      </c>
      <c r="U31" s="77">
        <f t="shared" si="3"/>
        <v>9.9960000000000007E-2</v>
      </c>
      <c r="V31" s="84">
        <v>1</v>
      </c>
      <c r="W31" s="79">
        <f t="shared" si="4"/>
        <v>9.7020000000000009E-2</v>
      </c>
      <c r="X31" s="80">
        <f t="shared" si="2"/>
        <v>4.7241118669690092</v>
      </c>
    </row>
    <row r="32" spans="1:24" ht="15" customHeight="1" x14ac:dyDescent="0.2">
      <c r="A32" s="65" t="s">
        <v>86</v>
      </c>
      <c r="B32" s="62">
        <f>EXP($R$31)-$B$26</f>
        <v>0.14720966922666462</v>
      </c>
      <c r="C32" s="62">
        <f>NORMINV(0.01,$R$26,$R$27)</f>
        <v>-4.0566766336216595</v>
      </c>
      <c r="M32" s="56">
        <v>41025</v>
      </c>
      <c r="N32" s="57">
        <v>0</v>
      </c>
      <c r="O32" s="58" t="b">
        <f t="shared" si="0"/>
        <v>0</v>
      </c>
      <c r="T32" s="69">
        <v>18</v>
      </c>
      <c r="U32" s="77">
        <f t="shared" si="3"/>
        <v>0.10584000000000002</v>
      </c>
      <c r="V32" s="84">
        <v>0</v>
      </c>
      <c r="W32" s="79">
        <f t="shared" si="4"/>
        <v>0.10290000000000002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0.17220966922666461</v>
      </c>
      <c r="M33" s="56">
        <v>41204</v>
      </c>
      <c r="N33" s="57">
        <v>0</v>
      </c>
      <c r="O33" s="58" t="b">
        <f t="shared" si="0"/>
        <v>0</v>
      </c>
      <c r="T33" s="69">
        <v>19</v>
      </c>
      <c r="U33" s="77">
        <f t="shared" si="3"/>
        <v>0.11172000000000001</v>
      </c>
      <c r="V33" s="84">
        <v>2</v>
      </c>
      <c r="W33" s="79">
        <f t="shared" si="4"/>
        <v>0.10878000000000002</v>
      </c>
      <c r="X33" s="80">
        <f t="shared" si="2"/>
        <v>9.4482237339380184</v>
      </c>
    </row>
    <row r="34" spans="1:24" ht="15" customHeight="1" x14ac:dyDescent="0.2">
      <c r="M34" s="56">
        <v>41401</v>
      </c>
      <c r="N34" s="57">
        <v>6.5000000000000002E-2</v>
      </c>
      <c r="O34" s="58">
        <f t="shared" si="0"/>
        <v>-2.7333680090865</v>
      </c>
      <c r="T34" s="69">
        <v>20</v>
      </c>
      <c r="U34" s="77">
        <f t="shared" si="3"/>
        <v>0.11760000000000001</v>
      </c>
      <c r="V34" s="84">
        <v>0</v>
      </c>
      <c r="W34" s="79">
        <f t="shared" si="4"/>
        <v>0.11466000000000001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41575</v>
      </c>
      <c r="N35" s="57">
        <v>0</v>
      </c>
      <c r="O35" s="58" t="b">
        <f t="shared" si="0"/>
        <v>0</v>
      </c>
      <c r="T35" s="69">
        <v>21</v>
      </c>
      <c r="U35" s="77">
        <f t="shared" si="3"/>
        <v>0.12348000000000002</v>
      </c>
      <c r="V35" s="84">
        <v>0</v>
      </c>
      <c r="W35" s="79">
        <f t="shared" si="4"/>
        <v>0.12054000000000001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41876</v>
      </c>
      <c r="N36" s="57">
        <v>0</v>
      </c>
      <c r="O36" s="58" t="b">
        <f t="shared" si="0"/>
        <v>0</v>
      </c>
      <c r="T36" s="69">
        <v>22</v>
      </c>
      <c r="U36" s="77">
        <f t="shared" si="3"/>
        <v>0.12936</v>
      </c>
      <c r="V36" s="84">
        <v>1</v>
      </c>
      <c r="W36" s="79">
        <f t="shared" si="4"/>
        <v>0.12642</v>
      </c>
      <c r="X36" s="80">
        <f t="shared" si="2"/>
        <v>4.7241118669690092</v>
      </c>
    </row>
    <row r="37" spans="1:24" ht="15.75" x14ac:dyDescent="0.25">
      <c r="A37" s="103" t="s">
        <v>8</v>
      </c>
      <c r="B37" s="52">
        <f>1.05*B11</f>
        <v>0.14700000000000002</v>
      </c>
      <c r="D37" s="8"/>
      <c r="E37" s="8"/>
      <c r="M37" s="56">
        <v>41939</v>
      </c>
      <c r="N37" s="57">
        <v>0</v>
      </c>
      <c r="O37" s="58" t="b">
        <f t="shared" si="0"/>
        <v>0</v>
      </c>
      <c r="T37" s="69">
        <v>23</v>
      </c>
      <c r="U37" s="77">
        <f t="shared" si="3"/>
        <v>0.13524000000000003</v>
      </c>
      <c r="V37" s="84">
        <v>0</v>
      </c>
      <c r="W37" s="79">
        <f t="shared" si="4"/>
        <v>0.13230000000000003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5.8800000000000007E-3</v>
      </c>
      <c r="M38" s="56">
        <v>42109</v>
      </c>
      <c r="N38" s="57">
        <v>1.7000000000000001E-2</v>
      </c>
      <c r="O38" s="58">
        <f t="shared" si="0"/>
        <v>-4.0745419349259206</v>
      </c>
      <c r="T38" s="69">
        <v>24</v>
      </c>
      <c r="U38" s="77">
        <f t="shared" si="3"/>
        <v>0.14112000000000002</v>
      </c>
      <c r="V38" s="84">
        <v>0</v>
      </c>
      <c r="W38" s="79">
        <f t="shared" si="4"/>
        <v>0.13818000000000003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0.14700000000000002</v>
      </c>
      <c r="V39" s="84">
        <v>1</v>
      </c>
      <c r="W39" s="79">
        <f t="shared" si="4"/>
        <v>0.14406000000000002</v>
      </c>
      <c r="X39" s="80">
        <f t="shared" si="2"/>
        <v>4.7241118669690092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-5.8800000000000006E-5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5.8800000000000006E-5</v>
      </c>
      <c r="U47" s="28">
        <f>$X$15</f>
        <v>42.517006802721085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5.8212000000000003E-3</v>
      </c>
      <c r="U48" s="28">
        <f>$X$15</f>
        <v>42.517006802721085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5.938800000000001E-3</v>
      </c>
      <c r="U49" s="28">
        <f>$X$16</f>
        <v>42.517006802721085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1.1701200000000002E-2</v>
      </c>
      <c r="U50" s="28">
        <f>$X$16</f>
        <v>42.517006802721085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1.1818800000000001E-2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1.7581200000000002E-2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1.7698800000000004E-2</v>
      </c>
      <c r="U53" s="28">
        <f>$X$18</f>
        <v>4.7241118669690092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2.3461200000000001E-2</v>
      </c>
      <c r="U54" s="28">
        <f>$X$18</f>
        <v>4.7241118669690092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2.3578800000000004E-2</v>
      </c>
      <c r="U55" s="28">
        <f>$X$19</f>
        <v>9.4482237339380184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2.9341200000000001E-2</v>
      </c>
      <c r="U56" s="28">
        <f>$X$19</f>
        <v>9.4482237339380184</v>
      </c>
    </row>
    <row r="57" spans="5:21" ht="15" x14ac:dyDescent="0.2">
      <c r="E57" s="70">
        <v>1</v>
      </c>
      <c r="F57" s="74">
        <f>$B$21</f>
        <v>0.11565149540265215</v>
      </c>
      <c r="G57" s="74">
        <f>$C$21</f>
        <v>-2.5540384291541027E-2</v>
      </c>
      <c r="H57" s="74">
        <f>$B$22</f>
        <v>0.12884827617421957</v>
      </c>
      <c r="I57" s="74">
        <f>$C$22</f>
        <v>-3.8737165063108439E-2</v>
      </c>
      <c r="J57" s="74">
        <f>$B$31</f>
        <v>0.12054337826757826</v>
      </c>
      <c r="K57" s="74">
        <f>$B$32</f>
        <v>0.14720966922666462</v>
      </c>
      <c r="M57" s="56"/>
      <c r="N57" s="57"/>
      <c r="O57" s="58" t="b">
        <f t="shared" si="0"/>
        <v>0</v>
      </c>
      <c r="T57" s="85">
        <f>$U$19+$B$38/100</f>
        <v>2.9458800000000004E-2</v>
      </c>
      <c r="U57" s="28">
        <f>$X$20</f>
        <v>0</v>
      </c>
    </row>
    <row r="58" spans="5:21" ht="15" x14ac:dyDescent="0.2">
      <c r="E58" s="70">
        <v>51501</v>
      </c>
      <c r="F58" s="74">
        <f>$B$21</f>
        <v>0.11565149540265215</v>
      </c>
      <c r="G58" s="74">
        <f>$C$21</f>
        <v>-2.5540384291541027E-2</v>
      </c>
      <c r="H58" s="74">
        <f>$B$22</f>
        <v>0.12884827617421957</v>
      </c>
      <c r="I58" s="74">
        <f>$C$22</f>
        <v>-3.8737165063108439E-2</v>
      </c>
      <c r="J58" s="74">
        <f>$B$31</f>
        <v>0.12054337826757826</v>
      </c>
      <c r="K58" s="74">
        <f>$B$32</f>
        <v>0.14720966922666462</v>
      </c>
      <c r="M58" s="56"/>
      <c r="N58" s="57"/>
      <c r="O58" s="58" t="b">
        <f t="shared" si="0"/>
        <v>0</v>
      </c>
      <c r="T58" s="85">
        <f>$U$20-$B$38/100</f>
        <v>3.5221200000000008E-2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3.5338800000000004E-2</v>
      </c>
      <c r="U59" s="28">
        <f>$X$21</f>
        <v>0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4.1101200000000004E-2</v>
      </c>
      <c r="U60" s="28">
        <f>$X$21</f>
        <v>0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4.12188E-2</v>
      </c>
      <c r="U61" s="28">
        <f>$X$22</f>
        <v>4.7241118669690092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4.6981200000000008E-2</v>
      </c>
      <c r="U62" s="28">
        <f>$X$22</f>
        <v>4.7241118669690092</v>
      </c>
    </row>
    <row r="63" spans="5:21" ht="15" x14ac:dyDescent="0.2">
      <c r="E63" s="72">
        <v>-5</v>
      </c>
      <c r="F63" s="73">
        <f>$B$16+$E63*$B$17</f>
        <v>-0.13503943701560484</v>
      </c>
      <c r="G63" s="73">
        <f>NORMDIST($F63,$B$16,$B$17,FALSE)</f>
        <v>4.1275981455921227E-5</v>
      </c>
      <c r="H63" s="73">
        <f>EXP($R$26+$E63*$R$27)</f>
        <v>4.6848173591453376E-3</v>
      </c>
      <c r="I63" s="73">
        <f t="shared" ref="I63:I113" si="5">H63-$B$26</f>
        <v>4.6848173591453376E-3</v>
      </c>
      <c r="J63" s="73">
        <f>1/$H63/SQRT(2*PI())/$R$27*EXP(-POWER(LN($H63)-$R$26,2)/2/POWER($R$27,2))</f>
        <v>6.493041801809502E-4</v>
      </c>
      <c r="K63" s="73">
        <f>LOGNORMDIST($H63,$R$26,$R$27)</f>
        <v>2.8665157187919174E-7</v>
      </c>
      <c r="M63" s="56"/>
      <c r="N63" s="57"/>
      <c r="O63" s="58" t="b">
        <f t="shared" si="0"/>
        <v>0</v>
      </c>
      <c r="T63" s="85">
        <f>$U$22+$B$38/100</f>
        <v>4.7098800000000003E-2</v>
      </c>
      <c r="U63" s="28">
        <f>$X$23</f>
        <v>0</v>
      </c>
    </row>
    <row r="64" spans="5:21" ht="15" x14ac:dyDescent="0.2">
      <c r="E64" s="72">
        <v>-4.8</v>
      </c>
      <c r="F64" s="73">
        <f t="shared" ref="F64:F113" si="6">$B$16+$E64*$B$17</f>
        <v>-0.12783563731275843</v>
      </c>
      <c r="G64" s="73">
        <f t="shared" ref="G64:G113" si="7">NORMDIST($F64,$B$16,$B$17,FALSE)</f>
        <v>1.0997804643199223E-4</v>
      </c>
      <c r="H64" s="73">
        <f t="shared" ref="H64:H113" si="8">EXP($R$26+$E64*$R$27)</f>
        <v>5.1658892065315834E-3</v>
      </c>
      <c r="I64" s="73">
        <f t="shared" si="5"/>
        <v>5.1658892065315834E-3</v>
      </c>
      <c r="J64" s="73">
        <f t="shared" ref="J64:J113" si="9">1/$H64/SQRT(2*PI())/$R$27*EXP(-POWER(LN($H64)-$R$26,2)/2/POWER($R$27,2))</f>
        <v>1.5689328917261132E-3</v>
      </c>
      <c r="K64" s="73">
        <f t="shared" ref="K64:K113" si="10">LOGNORMDIST($H64,$R$26,$R$27)</f>
        <v>7.9332815197559777E-7</v>
      </c>
      <c r="M64" s="56"/>
      <c r="N64" s="57"/>
      <c r="O64" s="58" t="b">
        <f t="shared" si="0"/>
        <v>0</v>
      </c>
      <c r="T64" s="85">
        <f>$U$23-$B$38/100</f>
        <v>5.2861200000000011E-2</v>
      </c>
      <c r="U64" s="28">
        <f>$X$23</f>
        <v>0</v>
      </c>
    </row>
    <row r="65" spans="5:21" ht="15" x14ac:dyDescent="0.2">
      <c r="E65" s="72">
        <v>-4.5999999999999996</v>
      </c>
      <c r="F65" s="73">
        <f t="shared" si="6"/>
        <v>-0.120631837609912</v>
      </c>
      <c r="G65" s="73">
        <f t="shared" si="7"/>
        <v>2.8154175529005436E-4</v>
      </c>
      <c r="H65" s="73">
        <f t="shared" si="8"/>
        <v>5.6963610848274207E-3</v>
      </c>
      <c r="I65" s="73">
        <f t="shared" si="5"/>
        <v>5.6963610848274207E-3</v>
      </c>
      <c r="J65" s="73">
        <f t="shared" si="9"/>
        <v>3.6424093952503078E-3</v>
      </c>
      <c r="K65" s="73">
        <f t="shared" si="10"/>
        <v>2.1124547025028414E-6</v>
      </c>
      <c r="M65" s="56"/>
      <c r="N65" s="57"/>
      <c r="O65" s="58" t="b">
        <f t="shared" si="0"/>
        <v>0</v>
      </c>
      <c r="T65" s="85">
        <f>$U$23+$B$38/100</f>
        <v>5.2978800000000006E-2</v>
      </c>
      <c r="U65" s="28">
        <f>$X$24</f>
        <v>61.413454270597121</v>
      </c>
    </row>
    <row r="66" spans="5:21" ht="15" x14ac:dyDescent="0.2">
      <c r="E66" s="72">
        <v>-4.4000000000000004</v>
      </c>
      <c r="F66" s="73">
        <f t="shared" si="6"/>
        <v>-0.1134280379070656</v>
      </c>
      <c r="G66" s="73">
        <f t="shared" si="7"/>
        <v>6.9248097723200407E-4</v>
      </c>
      <c r="H66" s="73">
        <f t="shared" si="8"/>
        <v>6.2813057561725066E-3</v>
      </c>
      <c r="I66" s="73">
        <f t="shared" si="5"/>
        <v>6.2813057561725066E-3</v>
      </c>
      <c r="J66" s="73">
        <f t="shared" si="9"/>
        <v>8.1245883914967832E-3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5.8741200000000007E-2</v>
      </c>
      <c r="U66" s="28">
        <f>$X$24</f>
        <v>61.413454270597121</v>
      </c>
    </row>
    <row r="67" spans="5:21" ht="15" x14ac:dyDescent="0.2">
      <c r="E67" s="72">
        <v>-4.2</v>
      </c>
      <c r="F67" s="73">
        <f t="shared" si="6"/>
        <v>-0.1062242382042192</v>
      </c>
      <c r="G67" s="73">
        <f t="shared" si="7"/>
        <v>1.6364438265336514E-3</v>
      </c>
      <c r="H67" s="73">
        <f t="shared" si="8"/>
        <v>6.926316891605758E-3</v>
      </c>
      <c r="I67" s="73">
        <f t="shared" si="5"/>
        <v>6.926316891605758E-3</v>
      </c>
      <c r="J67" s="73">
        <f t="shared" si="9"/>
        <v>1.7411741028231429E-2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5.8858800000000003E-2</v>
      </c>
      <c r="U67" s="28">
        <f>$X$25</f>
        <v>0</v>
      </c>
    </row>
    <row r="68" spans="5:21" ht="15" x14ac:dyDescent="0.2">
      <c r="E68" s="72">
        <v>-4</v>
      </c>
      <c r="F68" s="73">
        <f t="shared" si="6"/>
        <v>-9.9020438501372765E-2</v>
      </c>
      <c r="G68" s="73">
        <f t="shared" si="7"/>
        <v>3.7155454422755653E-3</v>
      </c>
      <c r="H68" s="73">
        <f t="shared" si="8"/>
        <v>7.6375625618607E-3</v>
      </c>
      <c r="I68" s="73">
        <f t="shared" si="5"/>
        <v>7.6375625618607E-3</v>
      </c>
      <c r="J68" s="73">
        <f t="shared" si="9"/>
        <v>3.5851823604437727E-2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6.4621200000000004E-2</v>
      </c>
      <c r="U68" s="28">
        <f>$X$25</f>
        <v>0</v>
      </c>
    </row>
    <row r="69" spans="5:21" ht="15" x14ac:dyDescent="0.2">
      <c r="E69" s="72">
        <v>-3.8</v>
      </c>
      <c r="F69" s="73">
        <f t="shared" si="6"/>
        <v>-9.1816638798526334E-2</v>
      </c>
      <c r="G69" s="73">
        <f t="shared" si="7"/>
        <v>8.1053593335223949E-3</v>
      </c>
      <c r="H69" s="73">
        <f t="shared" si="8"/>
        <v>8.4218442209930029E-3</v>
      </c>
      <c r="I69" s="73">
        <f t="shared" si="5"/>
        <v>8.4218442209930029E-3</v>
      </c>
      <c r="J69" s="73">
        <f t="shared" si="9"/>
        <v>7.0926499062642839E-2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6.4738799999999999E-2</v>
      </c>
      <c r="U69" s="28">
        <f>$X$26</f>
        <v>9.4482237339380184</v>
      </c>
    </row>
    <row r="70" spans="5:21" ht="15" x14ac:dyDescent="0.2">
      <c r="E70" s="72">
        <v>-3.6</v>
      </c>
      <c r="F70" s="73">
        <f t="shared" si="6"/>
        <v>-8.4612839095679931E-2</v>
      </c>
      <c r="G70" s="73">
        <f t="shared" si="7"/>
        <v>1.6988310484867947E-2</v>
      </c>
      <c r="H70" s="73">
        <f t="shared" si="8"/>
        <v>9.2866617468850641E-3</v>
      </c>
      <c r="I70" s="73">
        <f t="shared" si="5"/>
        <v>9.2866617468850641E-3</v>
      </c>
      <c r="J70" s="73">
        <f t="shared" si="9"/>
        <v>0.13481369649112332</v>
      </c>
      <c r="K70" s="73">
        <f t="shared" si="10"/>
        <v>1.5910859015753396E-4</v>
      </c>
      <c r="M70" s="56"/>
      <c r="N70" s="57"/>
      <c r="O70" s="58" t="b">
        <f t="shared" si="11"/>
        <v>0</v>
      </c>
      <c r="T70" s="85">
        <f>$U$26-$B$38/100</f>
        <v>7.0501200000000014E-2</v>
      </c>
      <c r="U70" s="28">
        <f>$X$26</f>
        <v>9.4482237339380184</v>
      </c>
    </row>
    <row r="71" spans="5:21" ht="15" x14ac:dyDescent="0.2">
      <c r="E71" s="72">
        <v>-3.4</v>
      </c>
      <c r="F71" s="73">
        <f t="shared" si="6"/>
        <v>-7.7409039392833515E-2</v>
      </c>
      <c r="G71" s="73">
        <f t="shared" si="7"/>
        <v>3.4210256234251953E-2</v>
      </c>
      <c r="H71" s="73">
        <f t="shared" si="8"/>
        <v>1.0240285160592735E-2</v>
      </c>
      <c r="I71" s="73">
        <f t="shared" si="5"/>
        <v>1.0240285160592735E-2</v>
      </c>
      <c r="J71" s="73">
        <f t="shared" si="9"/>
        <v>0.24619981991976003</v>
      </c>
      <c r="K71" s="73">
        <f t="shared" si="10"/>
        <v>3.3692926567688151E-4</v>
      </c>
      <c r="M71" s="56"/>
      <c r="N71" s="57"/>
      <c r="O71" s="58" t="b">
        <f t="shared" si="11"/>
        <v>0</v>
      </c>
      <c r="T71" s="85">
        <f>$U$26+$B$38/100</f>
        <v>7.0618800000000009E-2</v>
      </c>
      <c r="U71" s="28">
        <f>$X$27</f>
        <v>14.172335600907028</v>
      </c>
    </row>
    <row r="72" spans="5:21" ht="15" x14ac:dyDescent="0.2">
      <c r="E72" s="72">
        <v>-3.2</v>
      </c>
      <c r="F72" s="73">
        <f t="shared" si="6"/>
        <v>-7.0205239689987098E-2</v>
      </c>
      <c r="G72" s="73">
        <f t="shared" si="7"/>
        <v>6.6189741519959877E-2</v>
      </c>
      <c r="H72" s="73">
        <f t="shared" si="8"/>
        <v>1.1291833710367349E-2</v>
      </c>
      <c r="I72" s="73">
        <f t="shared" si="5"/>
        <v>1.1291833710367349E-2</v>
      </c>
      <c r="J72" s="73">
        <f t="shared" si="9"/>
        <v>0.43198599351028932</v>
      </c>
      <c r="K72" s="73">
        <f t="shared" si="10"/>
        <v>6.8713793791584557E-4</v>
      </c>
      <c r="M72" s="56"/>
      <c r="N72" s="57"/>
      <c r="O72" s="58" t="b">
        <f t="shared" si="11"/>
        <v>0</v>
      </c>
      <c r="T72" s="85">
        <f>$U$27-$B$38/100</f>
        <v>7.638120000000001E-2</v>
      </c>
      <c r="U72" s="28">
        <f>$X$27</f>
        <v>14.172335600907028</v>
      </c>
    </row>
    <row r="73" spans="5:21" ht="15" x14ac:dyDescent="0.2">
      <c r="E73" s="72">
        <v>-3</v>
      </c>
      <c r="F73" s="73">
        <f t="shared" si="6"/>
        <v>-6.3001439987140681E-2</v>
      </c>
      <c r="G73" s="73">
        <f t="shared" si="7"/>
        <v>0.12304196659401463</v>
      </c>
      <c r="H73" s="73">
        <f t="shared" si="8"/>
        <v>1.2451363076612636E-2</v>
      </c>
      <c r="I73" s="73">
        <f t="shared" si="5"/>
        <v>1.2451363076612636E-2</v>
      </c>
      <c r="J73" s="73">
        <f t="shared" si="9"/>
        <v>0.72824887298041341</v>
      </c>
      <c r="K73" s="73">
        <f t="shared" si="10"/>
        <v>1.3498980316300983E-3</v>
      </c>
      <c r="M73" s="56"/>
      <c r="N73" s="57"/>
      <c r="O73" s="58" t="b">
        <f t="shared" si="11"/>
        <v>0</v>
      </c>
      <c r="T73" s="85">
        <f>$U$27+$B$38/100</f>
        <v>7.6498800000000006E-2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-5.5797640284294264E-2</v>
      </c>
      <c r="G74" s="73">
        <f t="shared" si="7"/>
        <v>0.21975768093197701</v>
      </c>
      <c r="H74" s="73">
        <f t="shared" si="8"/>
        <v>1.3729961531694264E-2</v>
      </c>
      <c r="I74" s="73">
        <f t="shared" si="5"/>
        <v>1.3729961531694264E-2</v>
      </c>
      <c r="J74" s="73">
        <f t="shared" si="9"/>
        <v>1.1795550041930745</v>
      </c>
      <c r="K74" s="73">
        <f t="shared" si="10"/>
        <v>2.5551303304279286E-3</v>
      </c>
      <c r="M74" s="56"/>
      <c r="N74" s="57"/>
      <c r="O74" s="58" t="b">
        <f t="shared" si="11"/>
        <v>0</v>
      </c>
      <c r="T74" s="85">
        <f>$U$28-$B$38/100</f>
        <v>8.2261200000000007E-2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-4.8593840581447847E-2</v>
      </c>
      <c r="G75" s="73">
        <f t="shared" si="7"/>
        <v>0.3771056884971028</v>
      </c>
      <c r="H75" s="73">
        <f t="shared" si="8"/>
        <v>1.5139855974153207E-2</v>
      </c>
      <c r="I75" s="73">
        <f t="shared" si="5"/>
        <v>1.5139855974153207E-2</v>
      </c>
      <c r="J75" s="73">
        <f t="shared" si="9"/>
        <v>1.8356285102099152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8.2378800000000002E-2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-4.1390040878601431E-2</v>
      </c>
      <c r="G76" s="73">
        <f t="shared" si="7"/>
        <v>0.62174216992719034</v>
      </c>
      <c r="H76" s="73">
        <f t="shared" si="8"/>
        <v>1.6694528851299528E-2</v>
      </c>
      <c r="I76" s="73">
        <f t="shared" si="5"/>
        <v>1.6694528851299528E-2</v>
      </c>
      <c r="J76" s="73">
        <f t="shared" si="9"/>
        <v>2.7446034948729316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8.8141200000000017E-2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-3.4186241175755014E-2</v>
      </c>
      <c r="G77" s="73">
        <f t="shared" si="7"/>
        <v>0.98488559675568021</v>
      </c>
      <c r="H77" s="73">
        <f t="shared" si="8"/>
        <v>1.8408847088286835E-2</v>
      </c>
      <c r="I77" s="73">
        <f t="shared" si="5"/>
        <v>1.8408847088286835E-2</v>
      </c>
      <c r="J77" s="73">
        <f t="shared" si="9"/>
        <v>3.9427809578364141</v>
      </c>
      <c r="K77" s="73">
        <f t="shared" si="10"/>
        <v>1.3903447513498621E-2</v>
      </c>
      <c r="L77" s="16"/>
      <c r="M77" s="56"/>
      <c r="N77" s="57"/>
      <c r="O77" s="58" t="b">
        <f t="shared" si="11"/>
        <v>0</v>
      </c>
      <c r="T77" s="85">
        <f>$U$29+$B$38/100</f>
        <v>8.8258800000000012E-2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-2.6982441472908597E-2</v>
      </c>
      <c r="G78" s="73">
        <f t="shared" si="7"/>
        <v>1.4989580149446622</v>
      </c>
      <c r="H78" s="73">
        <f t="shared" si="8"/>
        <v>2.0299204256581778E-2</v>
      </c>
      <c r="I78" s="73">
        <f t="shared" si="5"/>
        <v>2.0299204256581778E-2</v>
      </c>
      <c r="J78" s="73">
        <f t="shared" si="9"/>
        <v>5.44194200932054</v>
      </c>
      <c r="K78" s="73">
        <f t="shared" si="10"/>
        <v>2.2750131948179219E-2</v>
      </c>
      <c r="L78" s="16"/>
      <c r="M78" s="56"/>
      <c r="N78" s="57"/>
      <c r="O78" s="58" t="b">
        <f t="shared" si="11"/>
        <v>0</v>
      </c>
      <c r="T78" s="85">
        <f>$U$30-$B$38/100</f>
        <v>9.4021200000000013E-2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-1.977864177006218E-2</v>
      </c>
      <c r="G79" s="73">
        <f t="shared" si="7"/>
        <v>2.1919032054624954</v>
      </c>
      <c r="H79" s="73">
        <f t="shared" si="8"/>
        <v>2.2383677341348083E-2</v>
      </c>
      <c r="I79" s="73">
        <f t="shared" si="5"/>
        <v>2.2383677341348083E-2</v>
      </c>
      <c r="J79" s="73">
        <f t="shared" si="9"/>
        <v>7.2166125517388373</v>
      </c>
      <c r="K79" s="73">
        <f t="shared" si="10"/>
        <v>3.5930319112925754E-2</v>
      </c>
      <c r="L79" s="16"/>
      <c r="M79" s="56"/>
      <c r="N79" s="57"/>
      <c r="O79" s="58" t="b">
        <f t="shared" si="11"/>
        <v>0</v>
      </c>
      <c r="T79" s="85">
        <f>$U$30+$B$38/100</f>
        <v>9.4138800000000009E-2</v>
      </c>
      <c r="U79" s="28">
        <f>$X$31</f>
        <v>4.7241118669690092</v>
      </c>
    </row>
    <row r="80" spans="5:21" ht="15" x14ac:dyDescent="0.2">
      <c r="E80" s="72">
        <v>-1.6</v>
      </c>
      <c r="F80" s="73">
        <f t="shared" si="6"/>
        <v>-1.2574842067215763E-2</v>
      </c>
      <c r="G80" s="73">
        <f t="shared" si="7"/>
        <v>3.0795091272631501</v>
      </c>
      <c r="H80" s="73">
        <f t="shared" si="8"/>
        <v>2.4682199606870153E-2</v>
      </c>
      <c r="I80" s="73">
        <f t="shared" si="5"/>
        <v>2.4682199606870153E-2</v>
      </c>
      <c r="J80" s="73">
        <f t="shared" si="9"/>
        <v>9.1947746523361236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9.9901200000000009E-2</v>
      </c>
      <c r="U80" s="28">
        <f>$X$31</f>
        <v>4.7241118669690092</v>
      </c>
    </row>
    <row r="81" spans="5:21" ht="15" x14ac:dyDescent="0.2">
      <c r="E81" s="72">
        <v>-1.4</v>
      </c>
      <c r="F81" s="73">
        <f t="shared" si="6"/>
        <v>-5.3710423643693467E-3</v>
      </c>
      <c r="G81" s="73">
        <f t="shared" si="7"/>
        <v>4.1569025184468549</v>
      </c>
      <c r="H81" s="73">
        <f t="shared" si="8"/>
        <v>2.7216751213082434E-2</v>
      </c>
      <c r="I81" s="73">
        <f t="shared" si="5"/>
        <v>2.7216751213082434E-2</v>
      </c>
      <c r="J81" s="73">
        <f t="shared" si="9"/>
        <v>11.25581667829162</v>
      </c>
      <c r="K81" s="73">
        <f t="shared" si="10"/>
        <v>8.0756659233771094E-2</v>
      </c>
      <c r="L81" s="14"/>
      <c r="M81" s="56"/>
      <c r="N81" s="57"/>
      <c r="O81" s="58" t="b">
        <f t="shared" si="11"/>
        <v>0</v>
      </c>
      <c r="T81" s="85">
        <f>$U$31+$B$38/100</f>
        <v>0.1000188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1.8327573384770701E-3</v>
      </c>
      <c r="G82" s="73">
        <f t="shared" si="7"/>
        <v>5.3912119435104442</v>
      </c>
      <c r="H82" s="73">
        <f t="shared" si="8"/>
        <v>3.0011569406020028E-2</v>
      </c>
      <c r="I82" s="73">
        <f t="shared" si="5"/>
        <v>3.0011569406020028E-2</v>
      </c>
      <c r="J82" s="73">
        <f t="shared" si="9"/>
        <v>13.238572349138494</v>
      </c>
      <c r="K82" s="73">
        <f t="shared" si="10"/>
        <v>0.11506967022170819</v>
      </c>
      <c r="L82" s="14"/>
      <c r="M82" s="56"/>
      <c r="N82" s="57"/>
      <c r="O82" s="58" t="b">
        <f t="shared" si="11"/>
        <v>0</v>
      </c>
      <c r="T82" s="85">
        <f>$U$32-$B$38/100</f>
        <v>0.10578120000000002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9.0365570413234869E-3</v>
      </c>
      <c r="G83" s="73">
        <f t="shared" si="7"/>
        <v>6.7178637524731331</v>
      </c>
      <c r="H83" s="73">
        <f t="shared" si="8"/>
        <v>3.3093380292186218E-2</v>
      </c>
      <c r="I83" s="73">
        <f t="shared" si="5"/>
        <v>3.3093380292186218E-2</v>
      </c>
      <c r="J83" s="73">
        <f t="shared" si="9"/>
        <v>14.960066220751814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0.10589880000000002</v>
      </c>
      <c r="U83" s="28">
        <f>$X$33</f>
        <v>9.4482237339380184</v>
      </c>
    </row>
    <row r="84" spans="5:21" ht="15" x14ac:dyDescent="0.2">
      <c r="E84" s="72">
        <v>-0.8</v>
      </c>
      <c r="F84" s="73">
        <f t="shared" si="6"/>
        <v>1.6240356744169904E-2</v>
      </c>
      <c r="G84" s="73">
        <f t="shared" si="7"/>
        <v>8.0427431275474728</v>
      </c>
      <c r="H84" s="73">
        <f t="shared" si="8"/>
        <v>3.6491654413233675E-2</v>
      </c>
      <c r="I84" s="73">
        <f t="shared" si="5"/>
        <v>3.6491654413233675E-2</v>
      </c>
      <c r="J84" s="73">
        <f t="shared" si="9"/>
        <v>16.242545775688015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0.11166120000000002</v>
      </c>
      <c r="U84" s="28">
        <f>$X$33</f>
        <v>9.4482237339380184</v>
      </c>
    </row>
    <row r="85" spans="5:21" ht="15" x14ac:dyDescent="0.2">
      <c r="E85" s="72">
        <v>-0.6</v>
      </c>
      <c r="F85" s="73">
        <f t="shared" si="6"/>
        <v>2.3444156447016321E-2</v>
      </c>
      <c r="G85" s="73">
        <f t="shared" si="7"/>
        <v>9.2513566905568894</v>
      </c>
      <c r="H85" s="73">
        <f t="shared" si="8"/>
        <v>4.0238888564952502E-2</v>
      </c>
      <c r="I85" s="73">
        <f t="shared" si="5"/>
        <v>4.0238888564952502E-2</v>
      </c>
      <c r="J85" s="73">
        <f t="shared" si="9"/>
        <v>16.943491283573909</v>
      </c>
      <c r="K85" s="73">
        <f t="shared" si="10"/>
        <v>0.27425311775007361</v>
      </c>
      <c r="M85" s="56"/>
      <c r="N85" s="57"/>
      <c r="O85" s="58" t="b">
        <f t="shared" si="11"/>
        <v>0</v>
      </c>
      <c r="T85" s="85">
        <f>$U$33+$B$38/100</f>
        <v>0.11177880000000001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3.0647956149862737E-2</v>
      </c>
      <c r="G86" s="73">
        <f t="shared" si="7"/>
        <v>10.224330367148042</v>
      </c>
      <c r="H86" s="73">
        <f t="shared" si="8"/>
        <v>4.4370916555525497E-2</v>
      </c>
      <c r="I86" s="73">
        <f t="shared" si="5"/>
        <v>4.4370916555525497E-2</v>
      </c>
      <c r="J86" s="73">
        <f t="shared" si="9"/>
        <v>16.981651675789539</v>
      </c>
      <c r="K86" s="73">
        <f t="shared" si="10"/>
        <v>0.34457825838967604</v>
      </c>
      <c r="M86" s="56"/>
      <c r="N86" s="57"/>
      <c r="O86" s="58" t="b">
        <f t="shared" si="11"/>
        <v>0</v>
      </c>
      <c r="T86" s="85">
        <f>$U$34-$B$38/100</f>
        <v>0.11754120000000001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3.7851755852709154E-2</v>
      </c>
      <c r="G87" s="73">
        <f t="shared" si="7"/>
        <v>10.856567647791326</v>
      </c>
      <c r="H87" s="73">
        <f t="shared" si="8"/>
        <v>4.8927251874749438E-2</v>
      </c>
      <c r="I87" s="73">
        <f t="shared" si="5"/>
        <v>4.8927251874749438E-2</v>
      </c>
      <c r="J87" s="73">
        <f t="shared" si="9"/>
        <v>16.352538266751875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0.11765880000000001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4.5055555555555571E-2</v>
      </c>
      <c r="G88" s="73">
        <f t="shared" si="7"/>
        <v>11.075884862367836</v>
      </c>
      <c r="H88" s="73">
        <f t="shared" si="8"/>
        <v>5.3951465551077611E-2</v>
      </c>
      <c r="I88" s="73">
        <f t="shared" si="5"/>
        <v>5.3951465551077611E-2</v>
      </c>
      <c r="J88" s="73">
        <f t="shared" si="9"/>
        <v>15.129293235864996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0.12342120000000002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5.2259355258401988E-2</v>
      </c>
      <c r="G89" s="73">
        <f t="shared" si="7"/>
        <v>10.856567647791326</v>
      </c>
      <c r="H89" s="73">
        <f t="shared" si="8"/>
        <v>5.9491602809830221E-2</v>
      </c>
      <c r="I89" s="73">
        <f t="shared" si="5"/>
        <v>5.9491602809830221E-2</v>
      </c>
      <c r="J89" s="73">
        <f t="shared" si="9"/>
        <v>13.448700670015299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0.12353880000000002</v>
      </c>
      <c r="U89" s="28">
        <f>$X$36</f>
        <v>4.7241118669690092</v>
      </c>
    </row>
    <row r="90" spans="5:21" ht="15" x14ac:dyDescent="0.2">
      <c r="E90" s="72">
        <v>0.4</v>
      </c>
      <c r="F90" s="73">
        <f t="shared" si="6"/>
        <v>5.9463154961248404E-2</v>
      </c>
      <c r="G90" s="73">
        <f t="shared" si="7"/>
        <v>10.224330367148042</v>
      </c>
      <c r="H90" s="73">
        <f t="shared" si="8"/>
        <v>6.5600642516965055E-2</v>
      </c>
      <c r="I90" s="73">
        <f t="shared" si="5"/>
        <v>6.5600642516965055E-2</v>
      </c>
      <c r="J90" s="73">
        <f t="shared" si="9"/>
        <v>11.486037644930018</v>
      </c>
      <c r="K90" s="73">
        <f t="shared" si="10"/>
        <v>0.65542174161032396</v>
      </c>
      <c r="M90" s="56"/>
      <c r="N90" s="57"/>
      <c r="O90" s="58" t="b">
        <f t="shared" si="11"/>
        <v>0</v>
      </c>
      <c r="T90" s="85">
        <f>$U$36-$B$38/100</f>
        <v>0.12930120000000001</v>
      </c>
      <c r="U90" s="28">
        <f>$X$36</f>
        <v>4.7241118669690092</v>
      </c>
    </row>
    <row r="91" spans="5:21" ht="15" x14ac:dyDescent="0.2">
      <c r="E91" s="72">
        <v>0.6</v>
      </c>
      <c r="F91" s="73">
        <f t="shared" si="6"/>
        <v>6.6666954664094821E-2</v>
      </c>
      <c r="G91" s="73">
        <f t="shared" si="7"/>
        <v>9.2513566905568894</v>
      </c>
      <c r="H91" s="73">
        <f t="shared" si="8"/>
        <v>7.2337003801947589E-2</v>
      </c>
      <c r="I91" s="73">
        <f t="shared" si="5"/>
        <v>7.2337003801947589E-2</v>
      </c>
      <c r="J91" s="73">
        <f t="shared" si="9"/>
        <v>9.4251520221607255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0.1294188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7.3870754366941599E-2</v>
      </c>
      <c r="G92" s="73">
        <f t="shared" si="7"/>
        <v>8.0427431275474088</v>
      </c>
      <c r="H92" s="73">
        <f t="shared" si="8"/>
        <v>7.9765104704420942E-2</v>
      </c>
      <c r="I92" s="73">
        <f t="shared" si="5"/>
        <v>7.9765104704420942E-2</v>
      </c>
      <c r="J92" s="73">
        <f t="shared" si="9"/>
        <v>7.430785296827672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0.13518120000000003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8.1074554069788016E-2</v>
      </c>
      <c r="G93" s="73">
        <f t="shared" si="7"/>
        <v>6.7178637524730656</v>
      </c>
      <c r="H93" s="73">
        <f t="shared" si="8"/>
        <v>8.795597818686407E-2</v>
      </c>
      <c r="I93" s="73">
        <f t="shared" si="5"/>
        <v>8.795597818686407E-2</v>
      </c>
      <c r="J93" s="73">
        <f t="shared" si="9"/>
        <v>5.6287153056022996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0.13529880000000002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8.8278353772634433E-2</v>
      </c>
      <c r="G94" s="73">
        <f t="shared" si="7"/>
        <v>5.3912119435103802</v>
      </c>
      <c r="H94" s="73">
        <f t="shared" si="8"/>
        <v>9.6987951404009454E-2</v>
      </c>
      <c r="I94" s="73">
        <f t="shared" si="5"/>
        <v>9.6987951404009454E-2</v>
      </c>
      <c r="J94" s="73">
        <f t="shared" si="9"/>
        <v>4.0964916480992768</v>
      </c>
      <c r="K94" s="73">
        <f t="shared" si="10"/>
        <v>0.88493032977829356</v>
      </c>
      <c r="M94" s="56"/>
      <c r="N94" s="57"/>
      <c r="O94" s="58" t="b">
        <f t="shared" si="11"/>
        <v>0</v>
      </c>
      <c r="T94" s="85">
        <f>$U$38-$B$38/100</f>
        <v>0.14106120000000003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9.5482153475480835E-2</v>
      </c>
      <c r="G95" s="73">
        <f t="shared" si="7"/>
        <v>4.1569025184467989</v>
      </c>
      <c r="H95" s="73">
        <f t="shared" si="8"/>
        <v>0.10694739472468692</v>
      </c>
      <c r="I95" s="73">
        <f t="shared" si="5"/>
        <v>0.10694739472468692</v>
      </c>
      <c r="J95" s="73">
        <f t="shared" si="9"/>
        <v>2.8644621313286454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0.14117880000000002</v>
      </c>
      <c r="U95" s="28">
        <f>$X$39</f>
        <v>4.7241118669690092</v>
      </c>
    </row>
    <row r="96" spans="5:21" ht="15" x14ac:dyDescent="0.2">
      <c r="E96" s="72">
        <v>1.6000000000000101</v>
      </c>
      <c r="F96" s="73">
        <f t="shared" si="6"/>
        <v>0.10268595317832727</v>
      </c>
      <c r="G96" s="73">
        <f t="shared" si="7"/>
        <v>3.0795091272631012</v>
      </c>
      <c r="H96" s="73">
        <f t="shared" si="8"/>
        <v>0.11792954766879588</v>
      </c>
      <c r="I96" s="73">
        <f t="shared" si="5"/>
        <v>0.11792954766879588</v>
      </c>
      <c r="J96" s="73">
        <f t="shared" si="9"/>
        <v>1.9244308809402555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0.14694120000000002</v>
      </c>
      <c r="U96" s="28">
        <f>$X$39</f>
        <v>4.7241118669690092</v>
      </c>
    </row>
    <row r="97" spans="5:21" ht="15" x14ac:dyDescent="0.2">
      <c r="E97" s="72">
        <v>1.80000000000001</v>
      </c>
      <c r="F97" s="73">
        <f t="shared" si="6"/>
        <v>0.10988975288117368</v>
      </c>
      <c r="G97" s="73">
        <f t="shared" si="7"/>
        <v>2.1919032054624554</v>
      </c>
      <c r="H97" s="73">
        <f t="shared" si="8"/>
        <v>0.13003942965762144</v>
      </c>
      <c r="I97" s="73">
        <f t="shared" si="5"/>
        <v>0.13003942965762144</v>
      </c>
      <c r="J97" s="73">
        <f t="shared" si="9"/>
        <v>1.2421949810218551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0.14705880000000002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0.11709355258402011</v>
      </c>
      <c r="G98" s="73">
        <f t="shared" si="7"/>
        <v>1.4989580149446315</v>
      </c>
      <c r="H98" s="73">
        <f t="shared" si="8"/>
        <v>0.14339284428675819</v>
      </c>
      <c r="I98" s="73">
        <f t="shared" si="5"/>
        <v>0.14339284428675819</v>
      </c>
      <c r="J98" s="73">
        <f t="shared" si="9"/>
        <v>0.77038078817067968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0.12429735228686652</v>
      </c>
      <c r="G99" s="73">
        <f t="shared" si="7"/>
        <v>0.98488559675565912</v>
      </c>
      <c r="H99" s="73">
        <f t="shared" si="8"/>
        <v>0.15811748672523795</v>
      </c>
      <c r="I99" s="73">
        <f t="shared" si="5"/>
        <v>0.15811748672523795</v>
      </c>
      <c r="J99" s="73">
        <f t="shared" si="9"/>
        <v>0.45903873922271782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0.13150115198971293</v>
      </c>
      <c r="G100" s="73">
        <f t="shared" si="7"/>
        <v>0.62174216992717513</v>
      </c>
      <c r="H100" s="73">
        <f t="shared" si="8"/>
        <v>0.17435416483062657</v>
      </c>
      <c r="I100" s="73">
        <f t="shared" si="5"/>
        <v>0.17435416483062657</v>
      </c>
      <c r="J100" s="73">
        <f t="shared" si="9"/>
        <v>0.26279763534781925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0.13870495169255936</v>
      </c>
      <c r="G101" s="73">
        <f t="shared" si="7"/>
        <v>0.37710568849709275</v>
      </c>
      <c r="H101" s="73">
        <f t="shared" si="8"/>
        <v>0.19225814565728927</v>
      </c>
      <c r="I101" s="73">
        <f t="shared" si="5"/>
        <v>0.19225814565728927</v>
      </c>
      <c r="J101" s="73">
        <f t="shared" si="9"/>
        <v>0.14455122913837995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0.14590875139540577</v>
      </c>
      <c r="G102" s="73">
        <f t="shared" si="7"/>
        <v>0.21975768093197073</v>
      </c>
      <c r="H102" s="73">
        <f t="shared" si="8"/>
        <v>0.21200064023412765</v>
      </c>
      <c r="I102" s="73">
        <f t="shared" si="5"/>
        <v>0.21200064023412765</v>
      </c>
      <c r="J102" s="73">
        <f t="shared" si="9"/>
        <v>7.6392433599268214E-2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0.1531125510982522</v>
      </c>
      <c r="G103" s="73">
        <f t="shared" si="7"/>
        <v>0.12304196659401094</v>
      </c>
      <c r="H103" s="73">
        <f t="shared" si="8"/>
        <v>0.23377044081032422</v>
      </c>
      <c r="I103" s="73">
        <f t="shared" si="5"/>
        <v>0.23377044081032422</v>
      </c>
      <c r="J103" s="73">
        <f t="shared" si="9"/>
        <v>3.8788869525938484E-2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0.1603163508010986</v>
      </c>
      <c r="G104" s="73">
        <f t="shared" si="7"/>
        <v>6.6189741519957823E-2</v>
      </c>
      <c r="H104" s="73">
        <f t="shared" si="8"/>
        <v>0.25777572622564182</v>
      </c>
      <c r="I104" s="73">
        <f t="shared" si="5"/>
        <v>0.25777572622564182</v>
      </c>
      <c r="J104" s="73">
        <f t="shared" si="9"/>
        <v>1.8923092858076297E-2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0.16752015050394503</v>
      </c>
      <c r="G105" s="73">
        <f t="shared" si="7"/>
        <v>3.4210256234250697E-2</v>
      </c>
      <c r="H105" s="73">
        <f t="shared" si="8"/>
        <v>0.28424605266955744</v>
      </c>
      <c r="I105" s="73">
        <f t="shared" si="5"/>
        <v>0.28424605266955744</v>
      </c>
      <c r="J105" s="73">
        <f t="shared" si="9"/>
        <v>8.869626644897443E-3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0.17472395020679143</v>
      </c>
      <c r="G106" s="73">
        <f t="shared" si="7"/>
        <v>1.6988310484867358E-2</v>
      </c>
      <c r="H106" s="73">
        <f t="shared" si="8"/>
        <v>0.3134345488663306</v>
      </c>
      <c r="I106" s="73">
        <f t="shared" si="5"/>
        <v>0.3134345488663306</v>
      </c>
      <c r="J106" s="73">
        <f t="shared" si="9"/>
        <v>3.9943560870635336E-3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0.18192774990963786</v>
      </c>
      <c r="G107" s="73">
        <f t="shared" si="7"/>
        <v>8.1053593335220706E-3</v>
      </c>
      <c r="H107" s="73">
        <f t="shared" si="8"/>
        <v>0.34562033667798325</v>
      </c>
      <c r="I107" s="73">
        <f t="shared" si="5"/>
        <v>0.34562033667798325</v>
      </c>
      <c r="J107" s="73">
        <f t="shared" si="9"/>
        <v>1.7282892898819735E-3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0.18913154961248427</v>
      </c>
      <c r="G108" s="73">
        <f t="shared" si="7"/>
        <v>3.7155454422754201E-3</v>
      </c>
      <c r="H108" s="73">
        <f t="shared" si="8"/>
        <v>0.38111120027277329</v>
      </c>
      <c r="I108" s="73">
        <f t="shared" si="5"/>
        <v>0.38111120027277329</v>
      </c>
      <c r="J108" s="73">
        <f t="shared" si="9"/>
        <v>7.1847939798067885E-4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0.19633534931533067</v>
      </c>
      <c r="G109" s="73">
        <f t="shared" si="7"/>
        <v>1.6364438265335842E-3</v>
      </c>
      <c r="H109" s="73">
        <f t="shared" si="8"/>
        <v>0.42024652938371615</v>
      </c>
      <c r="I109" s="73">
        <f t="shared" si="5"/>
        <v>0.42024652938371615</v>
      </c>
      <c r="J109" s="73">
        <f t="shared" si="9"/>
        <v>2.8697259242796316E-4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0.2035391490181771</v>
      </c>
      <c r="G110" s="73">
        <f t="shared" si="7"/>
        <v>6.9248097723197447E-4</v>
      </c>
      <c r="H110" s="73">
        <f t="shared" si="8"/>
        <v>0.46340056480275388</v>
      </c>
      <c r="I110" s="73">
        <f t="shared" si="5"/>
        <v>0.46340056480275388</v>
      </c>
      <c r="J110" s="73">
        <f t="shared" si="9"/>
        <v>1.1012723700878734E-4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0.21074294872102353</v>
      </c>
      <c r="G111" s="73">
        <f t="shared" si="7"/>
        <v>2.8154175529004032E-4</v>
      </c>
      <c r="H111" s="73">
        <f t="shared" si="8"/>
        <v>0.51098597714637572</v>
      </c>
      <c r="I111" s="73">
        <f t="shared" si="5"/>
        <v>0.51098597714637572</v>
      </c>
      <c r="J111" s="73">
        <f t="shared" si="9"/>
        <v>4.0604791642196396E-5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0.21794674842386991</v>
      </c>
      <c r="G112" s="73">
        <f t="shared" si="7"/>
        <v>1.0997804643198714E-4</v>
      </c>
      <c r="H112" s="73">
        <f t="shared" si="8"/>
        <v>0.56345781311547649</v>
      </c>
      <c r="I112" s="73">
        <f t="shared" si="5"/>
        <v>0.56345781311547649</v>
      </c>
      <c r="J112" s="73">
        <f t="shared" si="9"/>
        <v>1.4384277407257882E-5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0.22515054812671598</v>
      </c>
      <c r="G113" s="73">
        <f t="shared" si="7"/>
        <v>4.1275981455921227E-5</v>
      </c>
      <c r="H113" s="73">
        <f t="shared" si="8"/>
        <v>0.62131784698648962</v>
      </c>
      <c r="I113" s="73">
        <f t="shared" si="5"/>
        <v>0.62131784698648962</v>
      </c>
      <c r="J113" s="73">
        <f t="shared" si="9"/>
        <v>4.8958379506254767E-6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-0.57132891022199683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0.42563366850273582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-9.9298156324435608E-6</v>
      </c>
      <c r="H120" s="69" t="s">
        <v>50</v>
      </c>
      <c r="I120" s="79">
        <f>IF($B$9&gt;3,INDEX(XX!$C$4:$C$150,$B$9))</f>
        <v>0.316</v>
      </c>
      <c r="J120" s="79">
        <f>IF($B$9&gt;3,INDEX(XX!$D$4:$D$150,$B$9))</f>
        <v>0.40760000000000002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0.42563366850273582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42109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7.4990620361699012E-3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131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36928</v>
      </c>
      <c r="N3" s="57">
        <v>0.05</v>
      </c>
      <c r="O3" s="58">
        <f t="shared" ref="O3:O66" si="0">IF($N3&gt;0,LN($N3+$B$26))</f>
        <v>-2.4651040224918206</v>
      </c>
      <c r="T3" s="69" t="s">
        <v>109</v>
      </c>
      <c r="U3" s="82">
        <f>$B$21</f>
        <v>0.15667621002047435</v>
      </c>
      <c r="V3" s="82">
        <f t="shared" ref="V3:V10" si="1">U3</f>
        <v>0.15667621002047435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38476</v>
      </c>
      <c r="N4" s="57">
        <v>0.06</v>
      </c>
      <c r="O4" s="58">
        <f t="shared" si="0"/>
        <v>-2.353878387381596</v>
      </c>
      <c r="T4" s="69" t="s">
        <v>111</v>
      </c>
      <c r="U4" s="82">
        <f>$B$31</f>
        <v>0.16465816482869741</v>
      </c>
      <c r="V4" s="82">
        <f t="shared" si="1"/>
        <v>0.16465816482869741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39119</v>
      </c>
      <c r="N5" s="57">
        <v>5.5E-2</v>
      </c>
      <c r="O5" s="58">
        <f t="shared" si="0"/>
        <v>-2.4079456086518722</v>
      </c>
      <c r="T5" s="69" t="s">
        <v>110</v>
      </c>
      <c r="U5" s="82">
        <f>$B$22</f>
        <v>0.17010118978162053</v>
      </c>
      <c r="V5" s="82">
        <f t="shared" si="1"/>
        <v>0.17010118978162053</v>
      </c>
    </row>
    <row r="6" spans="1:24" ht="15" customHeight="1" x14ac:dyDescent="0.25">
      <c r="A6" s="107" t="s">
        <v>18</v>
      </c>
      <c r="B6" s="116">
        <v>0.74</v>
      </c>
      <c r="C6" s="18"/>
      <c r="M6" s="56">
        <v>39205</v>
      </c>
      <c r="N6" s="57">
        <v>3.6999999999999998E-2</v>
      </c>
      <c r="O6" s="58">
        <f t="shared" si="0"/>
        <v>-2.6310891599660815</v>
      </c>
      <c r="T6" s="69" t="s">
        <v>29</v>
      </c>
      <c r="U6" s="82">
        <f>$B$32</f>
        <v>0.19459409780172959</v>
      </c>
      <c r="V6" s="82">
        <f t="shared" si="1"/>
        <v>0.19459409780172959</v>
      </c>
    </row>
    <row r="7" spans="1:24" ht="15" customHeight="1" x14ac:dyDescent="0.2">
      <c r="D7" s="4"/>
      <c r="F7" s="5"/>
      <c r="M7" s="56">
        <v>39297</v>
      </c>
      <c r="N7" s="57">
        <v>6.8000000000000005E-2</v>
      </c>
      <c r="O7" s="58">
        <f t="shared" si="0"/>
        <v>-2.2730262907525014</v>
      </c>
      <c r="T7" s="69" t="s">
        <v>31</v>
      </c>
      <c r="U7" s="82">
        <f>$C$21</f>
        <v>1.3042837598573248E-2</v>
      </c>
      <c r="V7" s="82">
        <f t="shared" si="1"/>
        <v>1.3042837598573248E-2</v>
      </c>
    </row>
    <row r="8" spans="1:24" ht="15" customHeight="1" x14ac:dyDescent="0.25">
      <c r="A8" s="140" t="s">
        <v>12</v>
      </c>
      <c r="B8" s="140"/>
      <c r="C8" s="140"/>
      <c r="D8" s="4"/>
      <c r="M8" s="56">
        <v>39391</v>
      </c>
      <c r="N8" s="57">
        <v>5.8999999999999997E-2</v>
      </c>
      <c r="O8" s="58">
        <f t="shared" si="0"/>
        <v>-2.364460496712133</v>
      </c>
      <c r="T8" s="69" t="s">
        <v>32</v>
      </c>
      <c r="U8" s="82">
        <f>$C$31</f>
        <v>-2.842797571481638</v>
      </c>
      <c r="V8" s="82">
        <f t="shared" si="1"/>
        <v>-2.842797571481638</v>
      </c>
    </row>
    <row r="9" spans="1:24" ht="15" customHeight="1" x14ac:dyDescent="0.2">
      <c r="A9" s="101" t="s">
        <v>11</v>
      </c>
      <c r="B9" s="59">
        <f>COUNT($M$3:$M252)</f>
        <v>42</v>
      </c>
      <c r="C9" s="60"/>
      <c r="D9" s="4"/>
      <c r="M9" s="56">
        <v>39478</v>
      </c>
      <c r="N9" s="57">
        <v>0.06</v>
      </c>
      <c r="O9" s="58">
        <f t="shared" si="0"/>
        <v>-2.353878387381596</v>
      </c>
      <c r="T9" s="69" t="s">
        <v>112</v>
      </c>
      <c r="U9" s="82">
        <f>$C$22</f>
        <v>-3.8214216257291544E-4</v>
      </c>
      <c r="V9" s="82">
        <f t="shared" si="1"/>
        <v>-3.8214216257291544E-4</v>
      </c>
    </row>
    <row r="10" spans="1:24" ht="15" customHeight="1" x14ac:dyDescent="0.2">
      <c r="A10" s="102" t="s">
        <v>7</v>
      </c>
      <c r="B10" s="61">
        <f>MIN($N$3:$N$252)</f>
        <v>1E-4</v>
      </c>
      <c r="C10" s="60"/>
      <c r="D10" s="4"/>
      <c r="M10" s="56">
        <v>39573</v>
      </c>
      <c r="N10" s="57">
        <v>5.0999999999999997E-2</v>
      </c>
      <c r="O10" s="58">
        <f t="shared" si="0"/>
        <v>-2.4534079827286295</v>
      </c>
      <c r="T10" s="69" t="s">
        <v>113</v>
      </c>
      <c r="U10" s="82">
        <f>$C$32</f>
        <v>-2.9679790390079308</v>
      </c>
      <c r="V10" s="82">
        <f t="shared" si="1"/>
        <v>-2.9679790390079308</v>
      </c>
    </row>
    <row r="11" spans="1:24" ht="15" customHeight="1" x14ac:dyDescent="0.2">
      <c r="A11" s="102" t="s">
        <v>8</v>
      </c>
      <c r="B11" s="61">
        <f>MAX($N$3:$N$252)</f>
        <v>0.153</v>
      </c>
      <c r="C11" s="60"/>
      <c r="D11" s="4"/>
      <c r="M11" s="56">
        <v>39664</v>
      </c>
      <c r="N11" s="57">
        <v>0.08</v>
      </c>
      <c r="O11" s="58">
        <f t="shared" si="0"/>
        <v>-2.1628231506188871</v>
      </c>
      <c r="T11" s="69" t="s">
        <v>68</v>
      </c>
      <c r="U11" s="82">
        <f>$B$12</f>
        <v>8.1500000000000003E-2</v>
      </c>
      <c r="V11" s="82">
        <f>U11</f>
        <v>8.1500000000000003E-2</v>
      </c>
    </row>
    <row r="12" spans="1:24" ht="15" customHeight="1" x14ac:dyDescent="0.2">
      <c r="A12" s="102" t="s">
        <v>68</v>
      </c>
      <c r="B12" s="62">
        <f>MEDIAN($N$3:$N$252)</f>
        <v>8.1500000000000003E-2</v>
      </c>
      <c r="C12" s="50"/>
      <c r="D12" s="4"/>
      <c r="M12" s="56">
        <v>39757</v>
      </c>
      <c r="N12" s="57">
        <v>7.0999999999999994E-2</v>
      </c>
      <c r="O12" s="58">
        <f t="shared" si="0"/>
        <v>-2.2443161848700699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39891</v>
      </c>
      <c r="N13" s="57">
        <v>5.2999999999999999E-2</v>
      </c>
      <c r="O13" s="58">
        <f t="shared" si="0"/>
        <v>-2.4304184645039308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39939</v>
      </c>
      <c r="N14" s="57">
        <v>7.8E-2</v>
      </c>
      <c r="O14" s="58">
        <f t="shared" si="0"/>
        <v>-2.1803674602697964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40030</v>
      </c>
      <c r="N15" s="57">
        <v>0.13</v>
      </c>
      <c r="O15" s="58">
        <f t="shared" si="0"/>
        <v>-1.8018098050815563</v>
      </c>
      <c r="T15" s="69">
        <v>1</v>
      </c>
      <c r="U15" s="77">
        <f t="shared" ref="U15:U39" si="3">$B$36+T15*$B$38</f>
        <v>6.4260000000000003E-3</v>
      </c>
      <c r="V15" s="84">
        <f>FREQUENCY($N$3:$N$252,$U$15:$U$39)</f>
        <v>1</v>
      </c>
      <c r="W15" s="79">
        <f t="shared" ref="W15:W39" si="4">(U15+U14)/2</f>
        <v>3.2130000000000001E-3</v>
      </c>
      <c r="X15" s="80">
        <f t="shared" si="2"/>
        <v>3.70518577801491</v>
      </c>
    </row>
    <row r="16" spans="1:24" ht="15" customHeight="1" x14ac:dyDescent="0.2">
      <c r="A16" s="101" t="s">
        <v>73</v>
      </c>
      <c r="B16" s="63">
        <f>AVERAGE($N$3:$N$252)</f>
        <v>8.4859523809523801E-2</v>
      </c>
      <c r="C16" s="60"/>
      <c r="M16" s="56">
        <v>40094</v>
      </c>
      <c r="N16" s="57">
        <v>8.7999999999999995E-2</v>
      </c>
      <c r="O16" s="58">
        <f t="shared" si="0"/>
        <v>-2.0955709236097197</v>
      </c>
      <c r="T16" s="69">
        <v>2</v>
      </c>
      <c r="U16" s="77">
        <f t="shared" si="3"/>
        <v>1.2852000000000001E-2</v>
      </c>
      <c r="V16" s="84">
        <f t="array" ref="V16:V40">FREQUENCY($N$3:$N$252,$U$15:$U$39)</f>
        <v>1</v>
      </c>
      <c r="W16" s="79">
        <f t="shared" si="4"/>
        <v>9.639E-3</v>
      </c>
      <c r="X16" s="80">
        <f t="shared" si="2"/>
        <v>3.70518577801491</v>
      </c>
    </row>
    <row r="17" spans="1:24" ht="15" customHeight="1" x14ac:dyDescent="0.2">
      <c r="A17" s="102" t="s">
        <v>75</v>
      </c>
      <c r="B17" s="62">
        <f>STDEV($N$3:$N$252)</f>
        <v>3.6641839736562216E-2</v>
      </c>
      <c r="C17" s="60"/>
      <c r="D17" s="4"/>
      <c r="M17" s="56">
        <v>40210</v>
      </c>
      <c r="N17" s="57">
        <v>7.4999999999999997E-2</v>
      </c>
      <c r="O17" s="58">
        <f t="shared" si="0"/>
        <v>-2.2072749131897207</v>
      </c>
      <c r="T17" s="69">
        <v>3</v>
      </c>
      <c r="U17" s="77">
        <f t="shared" si="3"/>
        <v>1.9278E-2</v>
      </c>
      <c r="V17" s="84">
        <v>0</v>
      </c>
      <c r="W17" s="79">
        <f t="shared" si="4"/>
        <v>1.6064999999999999E-2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9.6089703926020009E-2</v>
      </c>
      <c r="C18" s="114" t="s">
        <v>45</v>
      </c>
      <c r="D18" s="4"/>
      <c r="J18" s="6"/>
      <c r="M18" s="56">
        <v>40303</v>
      </c>
      <c r="N18" s="57">
        <v>2.8000000000000001E-2</v>
      </c>
      <c r="O18" s="58">
        <f t="shared" si="0"/>
        <v>-2.7646205525906042</v>
      </c>
      <c r="T18" s="69">
        <v>4</v>
      </c>
      <c r="U18" s="77">
        <f t="shared" si="3"/>
        <v>2.5704000000000001E-2</v>
      </c>
      <c r="V18" s="84">
        <v>0</v>
      </c>
      <c r="W18" s="79">
        <f t="shared" si="4"/>
        <v>2.2491000000000001E-2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40392</v>
      </c>
      <c r="N19" s="57">
        <v>7.9000000000000001E-2</v>
      </c>
      <c r="O19" s="58">
        <f t="shared" si="0"/>
        <v>-2.1715568305876416</v>
      </c>
      <c r="T19" s="69">
        <v>5</v>
      </c>
      <c r="U19" s="77">
        <f t="shared" si="3"/>
        <v>3.2129999999999999E-2</v>
      </c>
      <c r="V19" s="84">
        <v>0</v>
      </c>
      <c r="W19" s="79">
        <f t="shared" si="4"/>
        <v>2.8916999999999998E-2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40487</v>
      </c>
      <c r="N20" s="57">
        <v>6.7000000000000004E-2</v>
      </c>
      <c r="O20" s="58">
        <f t="shared" si="0"/>
        <v>-2.2827824656978657</v>
      </c>
      <c r="T20" s="69">
        <v>6</v>
      </c>
      <c r="U20" s="77">
        <f t="shared" si="3"/>
        <v>3.8556E-2</v>
      </c>
      <c r="V20" s="84">
        <v>2</v>
      </c>
      <c r="W20" s="79">
        <f t="shared" si="4"/>
        <v>3.5342999999999999E-2</v>
      </c>
      <c r="X20" s="80">
        <f t="shared" si="2"/>
        <v>7.41037155602982</v>
      </c>
    </row>
    <row r="21" spans="1:24" ht="15" customHeight="1" x14ac:dyDescent="0.2">
      <c r="A21" s="103" t="s">
        <v>76</v>
      </c>
      <c r="B21" s="62">
        <f>NORMINV(0.975,$B$16,$B$17)</f>
        <v>0.15667621002047435</v>
      </c>
      <c r="C21" s="62">
        <f>NORMINV(0.025,$B$16,$B$17)</f>
        <v>1.3042837598573248E-2</v>
      </c>
      <c r="D21" s="4"/>
      <c r="M21" s="56">
        <v>40597</v>
      </c>
      <c r="N21" s="57">
        <v>2.5999999999999999E-2</v>
      </c>
      <c r="O21" s="58">
        <f t="shared" si="0"/>
        <v>-2.7968814148088259</v>
      </c>
      <c r="T21" s="69">
        <v>7</v>
      </c>
      <c r="U21" s="77">
        <f t="shared" si="3"/>
        <v>4.4982000000000001E-2</v>
      </c>
      <c r="V21" s="84">
        <v>1</v>
      </c>
      <c r="W21" s="79">
        <f t="shared" si="4"/>
        <v>4.1769000000000001E-2</v>
      </c>
      <c r="X21" s="80">
        <f t="shared" si="2"/>
        <v>3.70518577801491</v>
      </c>
    </row>
    <row r="22" spans="1:24" ht="15" customHeight="1" x14ac:dyDescent="0.2">
      <c r="A22" s="104" t="s">
        <v>77</v>
      </c>
      <c r="B22" s="62">
        <f>NORMINV(0.99,$B$16,$B$17)</f>
        <v>0.17010118978162053</v>
      </c>
      <c r="C22" s="62">
        <f>NORMINV(0.01,B16,B17)</f>
        <v>-3.8214216257291544E-4</v>
      </c>
      <c r="M22" s="56">
        <v>40683</v>
      </c>
      <c r="N22" s="57">
        <v>5.2999999999999999E-2</v>
      </c>
      <c r="O22" s="58">
        <f t="shared" si="0"/>
        <v>-2.4304184645039308</v>
      </c>
      <c r="T22" s="69">
        <v>8</v>
      </c>
      <c r="U22" s="77">
        <f t="shared" si="3"/>
        <v>5.1408000000000002E-2</v>
      </c>
      <c r="V22" s="84">
        <v>0</v>
      </c>
      <c r="W22" s="79">
        <f t="shared" si="4"/>
        <v>4.8195000000000002E-2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0.74</v>
      </c>
      <c r="E23" s="144" t="s">
        <v>80</v>
      </c>
      <c r="F23" s="144"/>
      <c r="G23" s="144"/>
      <c r="M23" s="56">
        <v>40781</v>
      </c>
      <c r="N23" s="57">
        <v>5.5E-2</v>
      </c>
      <c r="O23" s="58">
        <f t="shared" si="0"/>
        <v>-2.4079456086518722</v>
      </c>
      <c r="T23" s="69">
        <v>9</v>
      </c>
      <c r="U23" s="77">
        <f t="shared" si="3"/>
        <v>5.7834000000000003E-2</v>
      </c>
      <c r="V23" s="84">
        <v>2</v>
      </c>
      <c r="W23" s="79">
        <f t="shared" si="4"/>
        <v>5.4621000000000003E-2</v>
      </c>
      <c r="X23" s="80">
        <f t="shared" si="2"/>
        <v>7.41037155602982</v>
      </c>
    </row>
    <row r="24" spans="1:24" ht="15" customHeight="1" x14ac:dyDescent="0.2">
      <c r="M24" s="56">
        <v>40868</v>
      </c>
      <c r="N24" s="57">
        <v>8.3000000000000004E-2</v>
      </c>
      <c r="O24" s="58">
        <f t="shared" si="0"/>
        <v>-2.1370706545164722</v>
      </c>
      <c r="T24" s="69">
        <v>10</v>
      </c>
      <c r="U24" s="77">
        <f t="shared" si="3"/>
        <v>6.4259999999999998E-2</v>
      </c>
      <c r="V24" s="84">
        <v>4</v>
      </c>
      <c r="W24" s="79">
        <f t="shared" si="4"/>
        <v>6.1047000000000004E-2</v>
      </c>
      <c r="X24" s="80">
        <f t="shared" si="2"/>
        <v>14.82074311205964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40948</v>
      </c>
      <c r="N25" s="57">
        <v>6.5000000000000002E-2</v>
      </c>
      <c r="O25" s="58">
        <f t="shared" si="0"/>
        <v>-2.3025850929940455</v>
      </c>
      <c r="Q25" s="75" t="s">
        <v>68</v>
      </c>
      <c r="R25" s="75">
        <f>MEDIAN($O$3:$O$252)</f>
        <v>-2.1499469025676796</v>
      </c>
      <c r="T25" s="69">
        <v>11</v>
      </c>
      <c r="U25" s="77">
        <f t="shared" si="3"/>
        <v>7.0685999999999999E-2</v>
      </c>
      <c r="V25" s="84">
        <v>3</v>
      </c>
      <c r="W25" s="79">
        <f t="shared" si="4"/>
        <v>6.7473000000000005E-2</v>
      </c>
      <c r="X25" s="80">
        <f t="shared" si="2"/>
        <v>11.115557334044729</v>
      </c>
    </row>
    <row r="26" spans="1:24" ht="15" customHeight="1" x14ac:dyDescent="0.2">
      <c r="A26" s="86" t="s">
        <v>36</v>
      </c>
      <c r="B26" s="134">
        <v>3.5000000000000003E-2</v>
      </c>
      <c r="C26" s="62"/>
      <c r="E26" s="7" t="e">
        <f>AVERAGE(C50:C199)</f>
        <v>#DIV/0!</v>
      </c>
      <c r="M26" s="56">
        <v>41044</v>
      </c>
      <c r="N26" s="57">
        <v>9.1999999999999998E-2</v>
      </c>
      <c r="O26" s="58">
        <f t="shared" si="0"/>
        <v>-2.0635681925235456</v>
      </c>
      <c r="Q26" s="75" t="s">
        <v>73</v>
      </c>
      <c r="R26" s="75">
        <f>AVERAGE($O$3:$O$252)</f>
        <v>-2.1731415770062661</v>
      </c>
      <c r="T26" s="69">
        <v>12</v>
      </c>
      <c r="U26" s="77">
        <f t="shared" si="3"/>
        <v>7.7112E-2</v>
      </c>
      <c r="V26" s="84">
        <v>3</v>
      </c>
      <c r="W26" s="79">
        <f t="shared" si="4"/>
        <v>7.3898999999999992E-2</v>
      </c>
      <c r="X26" s="80">
        <f t="shared" si="2"/>
        <v>11.115557334044729</v>
      </c>
    </row>
    <row r="27" spans="1:24" ht="15" customHeight="1" x14ac:dyDescent="0.2">
      <c r="A27" s="65" t="s">
        <v>17</v>
      </c>
      <c r="B27" s="62">
        <f>EXP($R$26)</f>
        <v>0.11381948198369646</v>
      </c>
      <c r="C27" s="62"/>
      <c r="E27" s="7" t="e">
        <f>STDEV(C50:C199)</f>
        <v>#DIV/0!</v>
      </c>
      <c r="F27" s="7" t="e">
        <f>NORMINV(0.025,$E26,$E27)</f>
        <v>#DIV/0!</v>
      </c>
      <c r="M27" s="56">
        <v>41141</v>
      </c>
      <c r="N27" s="57">
        <v>8.6999999999999994E-2</v>
      </c>
      <c r="O27" s="58">
        <f t="shared" si="0"/>
        <v>-2.1037342342488805</v>
      </c>
      <c r="Q27" s="75" t="s">
        <v>104</v>
      </c>
      <c r="R27" s="75">
        <f>STDEV($O$3:$O$252)</f>
        <v>0.34166749989159639</v>
      </c>
      <c r="T27" s="69">
        <v>13</v>
      </c>
      <c r="U27" s="77">
        <f t="shared" si="3"/>
        <v>8.3538000000000001E-2</v>
      </c>
      <c r="V27" s="84">
        <v>2</v>
      </c>
      <c r="W27" s="79">
        <f t="shared" si="4"/>
        <v>8.0325000000000008E-2</v>
      </c>
      <c r="X27" s="80">
        <f t="shared" si="2"/>
        <v>7.41037155602982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-7.1147724396571105E-2</v>
      </c>
      <c r="C28" s="115" t="s">
        <v>45</v>
      </c>
      <c r="F28" s="7" t="e">
        <f>NORMINV(0.01,$E$26,$E$27)</f>
        <v>#DIV/0!</v>
      </c>
      <c r="M28" s="56">
        <v>41227</v>
      </c>
      <c r="N28" s="57">
        <v>0.11</v>
      </c>
      <c r="O28" s="58">
        <f t="shared" si="0"/>
        <v>-1.9310215365615626</v>
      </c>
      <c r="Q28" s="75" t="s">
        <v>108</v>
      </c>
      <c r="R28" s="75">
        <f>NORMINV(0.025,$R$26,$R$27)</f>
        <v>-2.842797571481638</v>
      </c>
      <c r="T28" s="69">
        <v>14</v>
      </c>
      <c r="U28" s="77">
        <f t="shared" si="3"/>
        <v>8.9964000000000002E-2</v>
      </c>
      <c r="V28" s="84">
        <v>4</v>
      </c>
      <c r="W28" s="79">
        <f t="shared" si="4"/>
        <v>8.6750999999999995E-2</v>
      </c>
      <c r="X28" s="80">
        <f t="shared" si="2"/>
        <v>14.82074311205964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41309</v>
      </c>
      <c r="N29" s="57">
        <v>0.14000000000000001</v>
      </c>
      <c r="O29" s="58">
        <f t="shared" si="0"/>
        <v>-1.7429693050586228</v>
      </c>
      <c r="Q29" s="75" t="s">
        <v>107</v>
      </c>
      <c r="R29" s="75">
        <f>NORMINV(0.01,$R$26,$R$27)</f>
        <v>-2.9679790390079308</v>
      </c>
      <c r="T29" s="69">
        <v>15</v>
      </c>
      <c r="U29" s="77">
        <f t="shared" si="3"/>
        <v>9.6390000000000003E-2</v>
      </c>
      <c r="V29" s="84">
        <v>3</v>
      </c>
      <c r="W29" s="79">
        <f t="shared" si="4"/>
        <v>9.317700000000001E-2</v>
      </c>
      <c r="X29" s="80">
        <f t="shared" si="2"/>
        <v>11.115557334044729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41411</v>
      </c>
      <c r="N30" s="57">
        <v>9.01E-2</v>
      </c>
      <c r="O30" s="58">
        <f t="shared" si="0"/>
        <v>-2.0786418615092717</v>
      </c>
      <c r="Q30" s="75" t="s">
        <v>105</v>
      </c>
      <c r="R30" s="75">
        <f>NORMINV(0.95,$R$26,$R$27)</f>
        <v>-1.6111485505981322</v>
      </c>
      <c r="T30" s="69">
        <v>16</v>
      </c>
      <c r="U30" s="77">
        <f t="shared" si="3"/>
        <v>0.102816</v>
      </c>
      <c r="V30" s="84">
        <v>3</v>
      </c>
      <c r="W30" s="79">
        <f t="shared" si="4"/>
        <v>9.9602999999999997E-2</v>
      </c>
      <c r="X30" s="80">
        <f t="shared" si="2"/>
        <v>11.115557334044729</v>
      </c>
    </row>
    <row r="31" spans="1:24" ht="15" customHeight="1" x14ac:dyDescent="0.2">
      <c r="A31" s="65" t="s">
        <v>98</v>
      </c>
      <c r="B31" s="62">
        <f>EXP($R30)-$B$26</f>
        <v>0.16465816482869741</v>
      </c>
      <c r="C31" s="62">
        <f>NORMINV(0.025,$R$26,$R$27)</f>
        <v>-2.842797571481638</v>
      </c>
      <c r="E31" s="7" t="e">
        <f>NORMINV(0.98,$E$26,$E$27)</f>
        <v>#DIV/0!</v>
      </c>
      <c r="M31" s="56">
        <v>41487</v>
      </c>
      <c r="N31" s="57">
        <v>0.1429</v>
      </c>
      <c r="O31" s="58">
        <f t="shared" si="0"/>
        <v>-1.7265336843103476</v>
      </c>
      <c r="Q31" s="75" t="s">
        <v>106</v>
      </c>
      <c r="R31" s="75">
        <f>NORMINV(0.98,$R$26,$R$27)</f>
        <v>-1.4714423213056018</v>
      </c>
      <c r="T31" s="69">
        <v>17</v>
      </c>
      <c r="U31" s="77">
        <f t="shared" si="3"/>
        <v>0.10924200000000001</v>
      </c>
      <c r="V31" s="84">
        <v>2</v>
      </c>
      <c r="W31" s="79">
        <f t="shared" si="4"/>
        <v>0.10602900000000001</v>
      </c>
      <c r="X31" s="80">
        <f t="shared" si="2"/>
        <v>7.41037155602982</v>
      </c>
    </row>
    <row r="32" spans="1:24" ht="15" customHeight="1" x14ac:dyDescent="0.2">
      <c r="A32" s="65" t="s">
        <v>86</v>
      </c>
      <c r="B32" s="62">
        <f>EXP($R$31)-$B$26</f>
        <v>0.19459409780172959</v>
      </c>
      <c r="C32" s="62">
        <f>NORMINV(0.01,$R$26,$R$27)</f>
        <v>-2.9679790390079308</v>
      </c>
      <c r="M32" s="56">
        <v>41582</v>
      </c>
      <c r="N32" s="57">
        <v>9.8900000000000002E-2</v>
      </c>
      <c r="O32" s="58">
        <f t="shared" si="0"/>
        <v>-2.0106620262850101</v>
      </c>
      <c r="T32" s="69">
        <v>18</v>
      </c>
      <c r="U32" s="77">
        <f t="shared" si="3"/>
        <v>0.11566800000000001</v>
      </c>
      <c r="V32" s="84">
        <v>0</v>
      </c>
      <c r="W32" s="79">
        <f t="shared" si="4"/>
        <v>0.112455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0.74</v>
      </c>
      <c r="M33" s="56">
        <v>41675</v>
      </c>
      <c r="N33" s="57">
        <v>0.1167</v>
      </c>
      <c r="O33" s="58">
        <f t="shared" si="0"/>
        <v>-1.8858503926276504</v>
      </c>
      <c r="T33" s="69">
        <v>19</v>
      </c>
      <c r="U33" s="77">
        <f t="shared" si="3"/>
        <v>0.12209400000000001</v>
      </c>
      <c r="V33" s="84">
        <v>3</v>
      </c>
      <c r="W33" s="79">
        <f t="shared" si="4"/>
        <v>0.11888100000000001</v>
      </c>
      <c r="X33" s="80">
        <f t="shared" si="2"/>
        <v>11.115557334044729</v>
      </c>
    </row>
    <row r="34" spans="1:24" ht="15" customHeight="1" x14ac:dyDescent="0.2">
      <c r="M34" s="56">
        <v>41764</v>
      </c>
      <c r="N34" s="57">
        <v>9.11E-2</v>
      </c>
      <c r="O34" s="58">
        <f t="shared" si="0"/>
        <v>-2.0706800360112632</v>
      </c>
      <c r="T34" s="69">
        <v>20</v>
      </c>
      <c r="U34" s="77">
        <f t="shared" si="3"/>
        <v>0.12852</v>
      </c>
      <c r="V34" s="84">
        <v>2</v>
      </c>
      <c r="W34" s="79">
        <f t="shared" si="4"/>
        <v>0.125307</v>
      </c>
      <c r="X34" s="80">
        <f t="shared" si="2"/>
        <v>7.41037155602982</v>
      </c>
    </row>
    <row r="35" spans="1:24" ht="15" customHeight="1" x14ac:dyDescent="0.25">
      <c r="A35" s="140" t="s">
        <v>78</v>
      </c>
      <c r="B35" s="140"/>
      <c r="C35" s="140"/>
      <c r="M35" s="56">
        <v>41855</v>
      </c>
      <c r="N35" s="57">
        <v>8.6300000000000002E-2</v>
      </c>
      <c r="O35" s="58">
        <f t="shared" si="0"/>
        <v>-2.1094884630321324</v>
      </c>
      <c r="T35" s="69">
        <v>21</v>
      </c>
      <c r="U35" s="77">
        <f t="shared" si="3"/>
        <v>0.13494600000000001</v>
      </c>
      <c r="V35" s="84">
        <v>0</v>
      </c>
      <c r="W35" s="79">
        <f t="shared" si="4"/>
        <v>0.13173299999999999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41948</v>
      </c>
      <c r="N36" s="57">
        <v>0.151</v>
      </c>
      <c r="O36" s="58">
        <f t="shared" si="0"/>
        <v>-1.6820086052689358</v>
      </c>
      <c r="T36" s="69">
        <v>22</v>
      </c>
      <c r="U36" s="77">
        <f t="shared" si="3"/>
        <v>0.141372</v>
      </c>
      <c r="V36" s="84">
        <v>1</v>
      </c>
      <c r="W36" s="79">
        <f t="shared" si="4"/>
        <v>0.138159</v>
      </c>
      <c r="X36" s="80">
        <f t="shared" si="2"/>
        <v>3.70518577801491</v>
      </c>
    </row>
    <row r="37" spans="1:24" ht="15.75" x14ac:dyDescent="0.25">
      <c r="A37" s="103" t="s">
        <v>8</v>
      </c>
      <c r="B37" s="52">
        <f>1.05*B11</f>
        <v>0.16065000000000002</v>
      </c>
      <c r="D37" s="8"/>
      <c r="E37" s="8"/>
      <c r="M37" s="56">
        <v>42059</v>
      </c>
      <c r="N37" s="57">
        <v>1E-4</v>
      </c>
      <c r="O37" s="58">
        <f t="shared" si="0"/>
        <v>-3.3495541485103169</v>
      </c>
      <c r="T37" s="69">
        <v>23</v>
      </c>
      <c r="U37" s="77">
        <f t="shared" si="3"/>
        <v>0.14779800000000001</v>
      </c>
      <c r="V37" s="84">
        <v>2</v>
      </c>
      <c r="W37" s="79">
        <f t="shared" si="4"/>
        <v>0.14458500000000002</v>
      </c>
      <c r="X37" s="80">
        <f t="shared" si="2"/>
        <v>7.41037155602982</v>
      </c>
    </row>
    <row r="38" spans="1:24" ht="15" x14ac:dyDescent="0.2">
      <c r="A38" s="104" t="s">
        <v>19</v>
      </c>
      <c r="B38" s="53">
        <f>($B$37-$B$36)/25</f>
        <v>6.4260000000000003E-3</v>
      </c>
      <c r="M38" s="56">
        <v>42131</v>
      </c>
      <c r="N38" s="57">
        <v>0.14000000000000001</v>
      </c>
      <c r="O38" s="58">
        <f t="shared" si="0"/>
        <v>-1.7429693050586228</v>
      </c>
      <c r="T38" s="69">
        <v>24</v>
      </c>
      <c r="U38" s="77">
        <f t="shared" si="3"/>
        <v>0.154224</v>
      </c>
      <c r="V38" s="84">
        <v>2</v>
      </c>
      <c r="W38" s="79">
        <f t="shared" si="4"/>
        <v>0.15101100000000001</v>
      </c>
      <c r="X38" s="80">
        <f t="shared" si="2"/>
        <v>7.41037155602982</v>
      </c>
    </row>
    <row r="39" spans="1:24" ht="15" x14ac:dyDescent="0.2">
      <c r="M39" s="56">
        <v>42229</v>
      </c>
      <c r="N39" s="57">
        <v>0.14699999999999999</v>
      </c>
      <c r="O39" s="58">
        <f t="shared" si="0"/>
        <v>-1.7037485919053417</v>
      </c>
      <c r="T39" s="69">
        <v>25</v>
      </c>
      <c r="U39" s="77">
        <f t="shared" si="3"/>
        <v>0.16065000000000002</v>
      </c>
      <c r="V39" s="84">
        <v>2</v>
      </c>
      <c r="W39" s="79">
        <f t="shared" si="4"/>
        <v>0.15743699999999999</v>
      </c>
      <c r="X39" s="80">
        <f t="shared" si="2"/>
        <v>7.41037155602982</v>
      </c>
    </row>
    <row r="40" spans="1:24" ht="15" x14ac:dyDescent="0.2">
      <c r="M40" s="56">
        <v>42317</v>
      </c>
      <c r="N40" s="57">
        <v>0.10199999999999999</v>
      </c>
      <c r="O40" s="58">
        <f t="shared" si="0"/>
        <v>-1.987774353154012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42402</v>
      </c>
      <c r="N41" s="57">
        <v>0.113</v>
      </c>
      <c r="O41" s="58">
        <f t="shared" si="0"/>
        <v>-1.9105430052180219</v>
      </c>
    </row>
    <row r="42" spans="1:24" ht="15" x14ac:dyDescent="0.2">
      <c r="M42" s="56">
        <v>42500</v>
      </c>
      <c r="N42" s="57">
        <v>0.12</v>
      </c>
      <c r="O42" s="58">
        <f t="shared" si="0"/>
        <v>-1.8643301620628905</v>
      </c>
    </row>
    <row r="43" spans="1:24" ht="15" x14ac:dyDescent="0.2">
      <c r="M43" s="56">
        <v>42592</v>
      </c>
      <c r="N43" s="57">
        <v>0.153</v>
      </c>
      <c r="O43" s="58">
        <f t="shared" si="0"/>
        <v>-1.6713133161521878</v>
      </c>
    </row>
    <row r="44" spans="1:24" ht="15" x14ac:dyDescent="0.2">
      <c r="M44" s="56">
        <v>42681</v>
      </c>
      <c r="N44" s="57">
        <v>0.112</v>
      </c>
      <c r="O44" s="58">
        <f t="shared" si="0"/>
        <v>-1.9173226922034006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-6.4259999999999998E-5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6.4259999999999998E-5</v>
      </c>
      <c r="U47" s="28">
        <f>$X$15</f>
        <v>3.70518577801491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6.3617400000000003E-3</v>
      </c>
      <c r="U48" s="28">
        <f>$X$15</f>
        <v>3.70518577801491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6.4902600000000003E-3</v>
      </c>
      <c r="U49" s="28">
        <f>$X$16</f>
        <v>3.70518577801491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1.2787740000000001E-2</v>
      </c>
      <c r="U50" s="28">
        <f>$X$16</f>
        <v>3.70518577801491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1.2916260000000001E-2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1.921374E-2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1.934226E-2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2.5639740000000001E-2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2.5768260000000001E-2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3.2065740000000002E-2</v>
      </c>
      <c r="U56" s="28">
        <f>$X$19</f>
        <v>0</v>
      </c>
    </row>
    <row r="57" spans="5:21" ht="15" x14ac:dyDescent="0.2">
      <c r="E57" s="70">
        <v>1</v>
      </c>
      <c r="F57" s="74">
        <f>$B$21</f>
        <v>0.15667621002047435</v>
      </c>
      <c r="G57" s="74">
        <f>$C$21</f>
        <v>1.3042837598573248E-2</v>
      </c>
      <c r="H57" s="74">
        <f>$B$22</f>
        <v>0.17010118978162053</v>
      </c>
      <c r="I57" s="74">
        <f>$C$22</f>
        <v>-3.8214216257291544E-4</v>
      </c>
      <c r="J57" s="74">
        <f>$B$31</f>
        <v>0.16465816482869741</v>
      </c>
      <c r="K57" s="74">
        <f>$B$32</f>
        <v>0.19459409780172959</v>
      </c>
      <c r="M57" s="56"/>
      <c r="N57" s="57"/>
      <c r="O57" s="58" t="b">
        <f t="shared" si="0"/>
        <v>0</v>
      </c>
      <c r="T57" s="85">
        <f>$U$19+$B$38/100</f>
        <v>3.2194259999999995E-2</v>
      </c>
      <c r="U57" s="28">
        <f>$X$20</f>
        <v>7.41037155602982</v>
      </c>
    </row>
    <row r="58" spans="5:21" ht="15" x14ac:dyDescent="0.2">
      <c r="E58" s="70">
        <v>51501</v>
      </c>
      <c r="F58" s="74">
        <f>$B$21</f>
        <v>0.15667621002047435</v>
      </c>
      <c r="G58" s="74">
        <f>$C$21</f>
        <v>1.3042837598573248E-2</v>
      </c>
      <c r="H58" s="74">
        <f>$B$22</f>
        <v>0.17010118978162053</v>
      </c>
      <c r="I58" s="74">
        <f>$C$22</f>
        <v>-3.8214216257291544E-4</v>
      </c>
      <c r="J58" s="74">
        <f>$B$31</f>
        <v>0.16465816482869741</v>
      </c>
      <c r="K58" s="74">
        <f>$B$32</f>
        <v>0.19459409780172959</v>
      </c>
      <c r="M58" s="56"/>
      <c r="N58" s="57"/>
      <c r="O58" s="58" t="b">
        <f t="shared" si="0"/>
        <v>0</v>
      </c>
      <c r="T58" s="85">
        <f>$U$20-$B$38/100</f>
        <v>3.8491740000000003E-2</v>
      </c>
      <c r="U58" s="28">
        <f>$X$20</f>
        <v>7.41037155602982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3.8620259999999997E-2</v>
      </c>
      <c r="U59" s="28">
        <f>$X$21</f>
        <v>3.70518577801491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4.4917740000000005E-2</v>
      </c>
      <c r="U60" s="28">
        <f>$X$21</f>
        <v>3.70518577801491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4.5046259999999998E-2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5.1343740000000006E-2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-9.8349674873287274E-2</v>
      </c>
      <c r="G63" s="73">
        <f>NORMDIST($F63,$B$16,$B$17,FALSE)</f>
        <v>4.0574368684081353E-5</v>
      </c>
      <c r="H63" s="73">
        <f>EXP($R$26+$E63*$R$27)</f>
        <v>2.0620303609652689E-2</v>
      </c>
      <c r="I63" s="73">
        <f t="shared" ref="I63:I113" si="5">H63-$B$26</f>
        <v>-1.4379696390347314E-2</v>
      </c>
      <c r="J63" s="73">
        <f>1/$H63/SQRT(2*PI())/$R$27*EXP(-POWER(LN($H63)-$R$26,2)/2/POWER($R$27,2))</f>
        <v>2.1102325456197468E-4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5.1472259999999999E-2</v>
      </c>
      <c r="U63" s="28">
        <f>$X$23</f>
        <v>7.41037155602982</v>
      </c>
    </row>
    <row r="64" spans="5:21" ht="15" x14ac:dyDescent="0.2">
      <c r="E64" s="72">
        <v>-4.8</v>
      </c>
      <c r="F64" s="73">
        <f t="shared" ref="F64:F113" si="6">$B$16+$E64*$B$17</f>
        <v>-9.1021306925974821E-2</v>
      </c>
      <c r="G64" s="73">
        <f t="shared" ref="G64:G113" si="7">NORMDIST($F64,$B$16,$B$17,FALSE)</f>
        <v>1.0810862990264608E-4</v>
      </c>
      <c r="H64" s="73">
        <f t="shared" ref="H64:H113" si="8">EXP($R$26+$E64*$R$27)</f>
        <v>2.2078619625558092E-2</v>
      </c>
      <c r="I64" s="73">
        <f t="shared" si="5"/>
        <v>-1.2921380374441911E-2</v>
      </c>
      <c r="J64" s="73">
        <f t="shared" ref="J64:J113" si="9">1/$H64/SQRT(2*PI())/$R$27*EXP(-POWER(LN($H64)-$R$26,2)/2/POWER($R$27,2))</f>
        <v>5.2512421710725597E-4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5.7769740000000007E-2</v>
      </c>
      <c r="U64" s="28">
        <f>$X$23</f>
        <v>7.41037155602982</v>
      </c>
    </row>
    <row r="65" spans="5:21" ht="15" x14ac:dyDescent="0.2">
      <c r="E65" s="72">
        <v>-4.5999999999999996</v>
      </c>
      <c r="F65" s="73">
        <f t="shared" si="6"/>
        <v>-8.3692938978662368E-2</v>
      </c>
      <c r="G65" s="73">
        <f t="shared" si="7"/>
        <v>2.7675608371181056E-4</v>
      </c>
      <c r="H65" s="73">
        <f t="shared" si="8"/>
        <v>2.3640071155009018E-2</v>
      </c>
      <c r="I65" s="73">
        <f t="shared" si="5"/>
        <v>-1.1359928844990985E-2</v>
      </c>
      <c r="J65" s="73">
        <f t="shared" si="9"/>
        <v>1.2555152670270238E-3</v>
      </c>
      <c r="K65" s="73">
        <f t="shared" si="10"/>
        <v>2.1124547025028414E-6</v>
      </c>
      <c r="M65" s="56"/>
      <c r="N65" s="57"/>
      <c r="O65" s="58" t="b">
        <f t="shared" si="0"/>
        <v>0</v>
      </c>
      <c r="T65" s="85">
        <f>$U$23+$B$38/100</f>
        <v>5.789826E-2</v>
      </c>
      <c r="U65" s="28">
        <f>$X$24</f>
        <v>14.82074311205964</v>
      </c>
    </row>
    <row r="66" spans="5:21" ht="15" x14ac:dyDescent="0.2">
      <c r="E66" s="72">
        <v>-4.4000000000000004</v>
      </c>
      <c r="F66" s="73">
        <f t="shared" si="6"/>
        <v>-7.636457103134997E-2</v>
      </c>
      <c r="G66" s="73">
        <f t="shared" si="7"/>
        <v>6.8071012452918032E-4</v>
      </c>
      <c r="H66" s="73">
        <f t="shared" si="8"/>
        <v>2.5311952182325941E-2</v>
      </c>
      <c r="I66" s="73">
        <f t="shared" si="5"/>
        <v>-9.6880478176740621E-3</v>
      </c>
      <c r="J66" s="73">
        <f t="shared" si="9"/>
        <v>2.8840990390035636E-3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6.4195740000000001E-2</v>
      </c>
      <c r="U66" s="28">
        <f>$X$24</f>
        <v>14.82074311205964</v>
      </c>
    </row>
    <row r="67" spans="5:21" ht="15" x14ac:dyDescent="0.2">
      <c r="E67" s="72">
        <v>-4.2</v>
      </c>
      <c r="F67" s="73">
        <f t="shared" si="6"/>
        <v>-6.9036203084037517E-2</v>
      </c>
      <c r="G67" s="73">
        <f t="shared" si="7"/>
        <v>1.6086274100949379E-3</v>
      </c>
      <c r="H67" s="73">
        <f t="shared" si="8"/>
        <v>2.7102072539430581E-2</v>
      </c>
      <c r="I67" s="73">
        <f t="shared" si="5"/>
        <v>-7.8979274605694219E-3</v>
      </c>
      <c r="J67" s="73">
        <f t="shared" si="9"/>
        <v>6.3654126416389433E-3</v>
      </c>
      <c r="K67" s="73">
        <f t="shared" si="10"/>
        <v>1.3345749015906261E-5</v>
      </c>
      <c r="M67" s="56"/>
      <c r="N67" s="57"/>
      <c r="O67" s="58" t="b">
        <f t="shared" ref="O67:O130" si="11">IF($N67&gt;0,LN($N67+$B$26))</f>
        <v>0</v>
      </c>
      <c r="T67" s="85">
        <f>$U$24+$B$38/100</f>
        <v>6.4324259999999994E-2</v>
      </c>
      <c r="U67" s="28">
        <f>$X$25</f>
        <v>11.115557334044729</v>
      </c>
    </row>
    <row r="68" spans="5:21" ht="15" x14ac:dyDescent="0.2">
      <c r="E68" s="72">
        <v>-4</v>
      </c>
      <c r="F68" s="73">
        <f t="shared" si="6"/>
        <v>-6.1707835136725064E-2</v>
      </c>
      <c r="G68" s="73">
        <f t="shared" si="7"/>
        <v>3.6523882732707319E-3</v>
      </c>
      <c r="H68" s="73">
        <f t="shared" si="8"/>
        <v>2.9018794387792715E-2</v>
      </c>
      <c r="I68" s="73">
        <f t="shared" si="5"/>
        <v>-5.9812056122072882E-3</v>
      </c>
      <c r="J68" s="73">
        <f t="shared" si="9"/>
        <v>1.3498054442976765E-2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7.0621740000000002E-2</v>
      </c>
      <c r="U68" s="28">
        <f>$X$25</f>
        <v>11.115557334044729</v>
      </c>
    </row>
    <row r="69" spans="5:21" ht="15" x14ac:dyDescent="0.2">
      <c r="E69" s="72">
        <v>-3.8</v>
      </c>
      <c r="F69" s="73">
        <f t="shared" si="6"/>
        <v>-5.4379467189412611E-2</v>
      </c>
      <c r="G69" s="73">
        <f t="shared" si="7"/>
        <v>7.967583720970969E-3</v>
      </c>
      <c r="H69" s="73">
        <f t="shared" si="8"/>
        <v>3.1071071280465341E-2</v>
      </c>
      <c r="I69" s="73">
        <f t="shared" si="5"/>
        <v>-3.9289287195346627E-3</v>
      </c>
      <c r="J69" s="73">
        <f t="shared" si="9"/>
        <v>2.7500716523838543E-2</v>
      </c>
      <c r="K69" s="73">
        <f t="shared" si="10"/>
        <v>7.2348043925120125E-5</v>
      </c>
      <c r="M69" s="56"/>
      <c r="N69" s="57"/>
      <c r="O69" s="58" t="b">
        <f t="shared" si="11"/>
        <v>0</v>
      </c>
      <c r="T69" s="85">
        <f>$U$25+$B$38/100</f>
        <v>7.0750259999999995E-2</v>
      </c>
      <c r="U69" s="28">
        <f>$X$26</f>
        <v>11.115557334044729</v>
      </c>
    </row>
    <row r="70" spans="5:21" ht="15" x14ac:dyDescent="0.2">
      <c r="E70" s="72">
        <v>-3.6</v>
      </c>
      <c r="F70" s="73">
        <f t="shared" si="6"/>
        <v>-4.7051099242100186E-2</v>
      </c>
      <c r="G70" s="73">
        <f t="shared" si="7"/>
        <v>1.6699541685490198E-2</v>
      </c>
      <c r="H70" s="73">
        <f t="shared" si="8"/>
        <v>3.3268489986678279E-2</v>
      </c>
      <c r="I70" s="73">
        <f t="shared" si="5"/>
        <v>-1.7315100133217243E-3</v>
      </c>
      <c r="J70" s="73">
        <f t="shared" si="9"/>
        <v>5.3832563832918102E-2</v>
      </c>
      <c r="K70" s="73">
        <f t="shared" si="10"/>
        <v>1.5910859015753445E-4</v>
      </c>
      <c r="M70" s="56"/>
      <c r="N70" s="57"/>
      <c r="O70" s="58" t="b">
        <f t="shared" si="11"/>
        <v>0</v>
      </c>
      <c r="T70" s="85">
        <f>$U$26-$B$38/100</f>
        <v>7.7047740000000003E-2</v>
      </c>
      <c r="U70" s="28">
        <f>$X$26</f>
        <v>11.115557334044729</v>
      </c>
    </row>
    <row r="71" spans="5:21" ht="15" x14ac:dyDescent="0.2">
      <c r="E71" s="72">
        <v>-3.4</v>
      </c>
      <c r="F71" s="73">
        <f t="shared" si="6"/>
        <v>-3.9722731294787733E-2</v>
      </c>
      <c r="G71" s="73">
        <f t="shared" si="7"/>
        <v>3.3628747282672011E-2</v>
      </c>
      <c r="H71" s="73">
        <f t="shared" si="8"/>
        <v>3.562131527436465E-2</v>
      </c>
      <c r="I71" s="73">
        <f t="shared" si="5"/>
        <v>6.2131527436464634E-4</v>
      </c>
      <c r="J71" s="73">
        <f t="shared" si="9"/>
        <v>0.10124517593738883</v>
      </c>
      <c r="K71" s="73">
        <f t="shared" si="10"/>
        <v>3.3692926567688151E-4</v>
      </c>
      <c r="M71" s="56"/>
      <c r="N71" s="57"/>
      <c r="O71" s="58" t="b">
        <f t="shared" si="11"/>
        <v>0</v>
      </c>
      <c r="T71" s="85">
        <f>$U$26+$B$38/100</f>
        <v>7.7176259999999997E-2</v>
      </c>
      <c r="U71" s="28">
        <f>$X$27</f>
        <v>7.41037155602982</v>
      </c>
    </row>
    <row r="72" spans="5:21" ht="15" x14ac:dyDescent="0.2">
      <c r="E72" s="72">
        <v>-3.2</v>
      </c>
      <c r="F72" s="73">
        <f t="shared" si="6"/>
        <v>-3.2394363347475294E-2</v>
      </c>
      <c r="G72" s="73">
        <f t="shared" si="7"/>
        <v>6.5064642458056848E-2</v>
      </c>
      <c r="H72" s="73">
        <f t="shared" si="8"/>
        <v>3.8140537859812147E-2</v>
      </c>
      <c r="I72" s="73">
        <f t="shared" si="5"/>
        <v>3.1405378598121439E-3</v>
      </c>
      <c r="J72" s="73">
        <f t="shared" si="9"/>
        <v>0.18294975637392083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8.3473740000000005E-2</v>
      </c>
      <c r="U72" s="28">
        <f>$X$27</f>
        <v>7.41037155602982</v>
      </c>
    </row>
    <row r="73" spans="5:21" ht="15" x14ac:dyDescent="0.2">
      <c r="E73" s="72">
        <v>-3</v>
      </c>
      <c r="F73" s="73">
        <f t="shared" si="6"/>
        <v>-2.5065995400162855E-2</v>
      </c>
      <c r="G73" s="73">
        <f t="shared" si="7"/>
        <v>0.1209504883979881</v>
      </c>
      <c r="H73" s="73">
        <f t="shared" si="8"/>
        <v>4.0837925748425652E-2</v>
      </c>
      <c r="I73" s="73">
        <f t="shared" si="5"/>
        <v>5.8379257484256486E-3</v>
      </c>
      <c r="J73" s="73">
        <f t="shared" si="9"/>
        <v>0.31762710211012374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8.3602259999999998E-2</v>
      </c>
      <c r="U73" s="28">
        <f>$X$28</f>
        <v>14.82074311205964</v>
      </c>
    </row>
    <row r="74" spans="5:21" ht="15" x14ac:dyDescent="0.2">
      <c r="E74" s="72">
        <v>-2.8</v>
      </c>
      <c r="F74" s="73">
        <f t="shared" si="6"/>
        <v>-1.7737627452850402E-2</v>
      </c>
      <c r="G74" s="73">
        <f t="shared" si="7"/>
        <v>0.21602222049679776</v>
      </c>
      <c r="H74" s="73">
        <f t="shared" si="8"/>
        <v>4.3726079206428403E-2</v>
      </c>
      <c r="I74" s="73">
        <f t="shared" si="5"/>
        <v>8.7260792064283998E-3</v>
      </c>
      <c r="J74" s="73">
        <f t="shared" si="9"/>
        <v>0.52982383253781418</v>
      </c>
      <c r="K74" s="73">
        <f t="shared" si="10"/>
        <v>2.5551303304279364E-3</v>
      </c>
      <c r="M74" s="56"/>
      <c r="N74" s="57"/>
      <c r="O74" s="58" t="b">
        <f t="shared" si="11"/>
        <v>0</v>
      </c>
      <c r="T74" s="85">
        <f>$U$28-$B$38/100</f>
        <v>8.9899740000000006E-2</v>
      </c>
      <c r="U74" s="28">
        <f>$X$28</f>
        <v>14.82074311205964</v>
      </c>
    </row>
    <row r="75" spans="5:21" ht="15" x14ac:dyDescent="0.2">
      <c r="E75" s="72">
        <v>-2.6</v>
      </c>
      <c r="F75" s="73">
        <f t="shared" si="6"/>
        <v>-1.0409259505537963E-2</v>
      </c>
      <c r="G75" s="73">
        <f t="shared" si="7"/>
        <v>0.37069561275691515</v>
      </c>
      <c r="H75" s="73">
        <f t="shared" si="8"/>
        <v>4.6818489620290234E-2</v>
      </c>
      <c r="I75" s="73">
        <f t="shared" si="5"/>
        <v>1.181848962029023E-2</v>
      </c>
      <c r="J75" s="73">
        <f t="shared" si="9"/>
        <v>0.84912895044778502</v>
      </c>
      <c r="K75" s="73">
        <f t="shared" si="10"/>
        <v>4.6611880237187493E-3</v>
      </c>
      <c r="M75" s="56"/>
      <c r="N75" s="57"/>
      <c r="O75" s="58" t="b">
        <f t="shared" si="11"/>
        <v>0</v>
      </c>
      <c r="T75" s="85">
        <f>$U$28+$B$38/100</f>
        <v>9.0028259999999999E-2</v>
      </c>
      <c r="U75" s="28">
        <f>$X$29</f>
        <v>11.115557334044729</v>
      </c>
    </row>
    <row r="76" spans="5:21" ht="15" x14ac:dyDescent="0.2">
      <c r="E76" s="72">
        <v>-2.4</v>
      </c>
      <c r="F76" s="73">
        <f t="shared" si="6"/>
        <v>-3.0808915582255098E-3</v>
      </c>
      <c r="G76" s="73">
        <f t="shared" si="7"/>
        <v>0.61117374170754402</v>
      </c>
      <c r="H76" s="73">
        <f t="shared" si="8"/>
        <v>5.0129602518832084E-2</v>
      </c>
      <c r="I76" s="73">
        <f t="shared" si="5"/>
        <v>1.512960251883208E-2</v>
      </c>
      <c r="J76" s="73">
        <f t="shared" si="9"/>
        <v>1.3075070133940048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9.6325740000000007E-2</v>
      </c>
      <c r="U76" s="28">
        <f>$X$29</f>
        <v>11.115557334044729</v>
      </c>
    </row>
    <row r="77" spans="5:21" ht="15" x14ac:dyDescent="0.2">
      <c r="E77" s="72">
        <v>-2.2000000000000002</v>
      </c>
      <c r="F77" s="73">
        <f t="shared" si="6"/>
        <v>4.2474763890869155E-3</v>
      </c>
      <c r="G77" s="73">
        <f t="shared" si="7"/>
        <v>0.96814442455065708</v>
      </c>
      <c r="H77" s="73">
        <f t="shared" si="8"/>
        <v>5.3674885052400749E-2</v>
      </c>
      <c r="I77" s="73">
        <f t="shared" si="5"/>
        <v>1.8674885052400746E-2</v>
      </c>
      <c r="J77" s="73">
        <f t="shared" si="9"/>
        <v>1.9343837125333727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9.645426E-2</v>
      </c>
      <c r="U77" s="28">
        <f>$X$30</f>
        <v>11.115557334044729</v>
      </c>
    </row>
    <row r="78" spans="5:21" ht="15" x14ac:dyDescent="0.2">
      <c r="E78" s="72">
        <v>-2</v>
      </c>
      <c r="F78" s="73">
        <f t="shared" si="6"/>
        <v>1.1575844336399368E-2</v>
      </c>
      <c r="G78" s="73">
        <f t="shared" si="7"/>
        <v>1.4734785944526256</v>
      </c>
      <c r="H78" s="73">
        <f t="shared" si="8"/>
        <v>5.747089824432855E-2</v>
      </c>
      <c r="I78" s="73">
        <f t="shared" si="5"/>
        <v>2.2470898244328547E-2</v>
      </c>
      <c r="J78" s="73">
        <f t="shared" si="9"/>
        <v>2.7495995446797519</v>
      </c>
      <c r="K78" s="73">
        <f t="shared" si="10"/>
        <v>2.2750131948179233E-2</v>
      </c>
      <c r="L78" s="16"/>
      <c r="M78" s="56"/>
      <c r="N78" s="57"/>
      <c r="O78" s="58" t="b">
        <f t="shared" si="11"/>
        <v>0</v>
      </c>
      <c r="T78" s="85">
        <f>$U$30-$B$38/100</f>
        <v>0.10275174000000001</v>
      </c>
      <c r="U78" s="28">
        <f>$X$30</f>
        <v>11.115557334044729</v>
      </c>
    </row>
    <row r="79" spans="5:21" ht="15" x14ac:dyDescent="0.2">
      <c r="E79" s="72">
        <v>-1.8</v>
      </c>
      <c r="F79" s="73">
        <f t="shared" si="6"/>
        <v>1.8904212283711808E-2</v>
      </c>
      <c r="G79" s="73">
        <f t="shared" si="7"/>
        <v>2.1546450415292755</v>
      </c>
      <c r="H79" s="73">
        <f t="shared" si="8"/>
        <v>6.153537435218473E-2</v>
      </c>
      <c r="I79" s="73">
        <f t="shared" si="5"/>
        <v>2.6535374352184726E-2</v>
      </c>
      <c r="J79" s="73">
        <f t="shared" si="9"/>
        <v>3.7551257787002204</v>
      </c>
      <c r="K79" s="73">
        <f t="shared" si="10"/>
        <v>3.5930319112925838E-2</v>
      </c>
      <c r="L79" s="16"/>
      <c r="M79" s="56"/>
      <c r="N79" s="57"/>
      <c r="O79" s="58" t="b">
        <f t="shared" si="11"/>
        <v>0</v>
      </c>
      <c r="T79" s="85">
        <f>$U$30+$B$38/100</f>
        <v>0.10288026</v>
      </c>
      <c r="U79" s="28">
        <f>$X$31</f>
        <v>7.41037155602982</v>
      </c>
    </row>
    <row r="80" spans="5:21" ht="15" x14ac:dyDescent="0.2">
      <c r="E80" s="72">
        <v>-1.6</v>
      </c>
      <c r="F80" s="73">
        <f t="shared" si="6"/>
        <v>2.6232580231024254E-2</v>
      </c>
      <c r="G80" s="73">
        <f t="shared" si="7"/>
        <v>3.0271633596163499</v>
      </c>
      <c r="H80" s="73">
        <f t="shared" si="8"/>
        <v>6.5887299700195495E-2</v>
      </c>
      <c r="I80" s="73">
        <f t="shared" si="5"/>
        <v>3.0887299700195492E-2</v>
      </c>
      <c r="J80" s="73">
        <f t="shared" si="9"/>
        <v>4.9272857616731391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0.10917774000000001</v>
      </c>
      <c r="U80" s="28">
        <f>$X$31</f>
        <v>7.41037155602982</v>
      </c>
    </row>
    <row r="81" spans="5:21" ht="15" x14ac:dyDescent="0.2">
      <c r="E81" s="72">
        <v>-1.4</v>
      </c>
      <c r="F81" s="73">
        <f t="shared" si="6"/>
        <v>3.35609481783367E-2</v>
      </c>
      <c r="G81" s="73">
        <f t="shared" si="7"/>
        <v>4.0862431229494947</v>
      </c>
      <c r="H81" s="73">
        <f t="shared" si="8"/>
        <v>7.0547003369765895E-2</v>
      </c>
      <c r="I81" s="73">
        <f t="shared" si="5"/>
        <v>3.5547003369765892E-2</v>
      </c>
      <c r="J81" s="73">
        <f t="shared" si="9"/>
        <v>6.2118252945349122</v>
      </c>
      <c r="K81" s="73">
        <f t="shared" si="10"/>
        <v>8.0756659233770997E-2</v>
      </c>
      <c r="L81" s="14"/>
      <c r="M81" s="56"/>
      <c r="N81" s="57"/>
      <c r="O81" s="58" t="b">
        <f t="shared" si="11"/>
        <v>0</v>
      </c>
      <c r="T81" s="85">
        <f>$U$31+$B$38/100</f>
        <v>0.10930626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4.0889316125649146E-2</v>
      </c>
      <c r="G82" s="73">
        <f t="shared" si="7"/>
        <v>5.299571647584302</v>
      </c>
      <c r="H82" s="73">
        <f t="shared" si="8"/>
        <v>7.553625216240259E-2</v>
      </c>
      <c r="I82" s="73">
        <f t="shared" si="5"/>
        <v>4.0536252162402586E-2</v>
      </c>
      <c r="J82" s="73">
        <f t="shared" si="9"/>
        <v>7.5241758349725796</v>
      </c>
      <c r="K82" s="73">
        <f t="shared" si="10"/>
        <v>0.1150696702217081</v>
      </c>
      <c r="L82" s="14"/>
      <c r="M82" s="56"/>
      <c r="N82" s="57"/>
      <c r="O82" s="58" t="b">
        <f t="shared" si="11"/>
        <v>0</v>
      </c>
      <c r="T82" s="85">
        <f>$U$32-$B$38/100</f>
        <v>0.11560374000000001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4.8217684072961585E-2</v>
      </c>
      <c r="G83" s="73">
        <f t="shared" si="7"/>
        <v>6.6036729121354254</v>
      </c>
      <c r="H83" s="73">
        <f t="shared" si="8"/>
        <v>8.0878352278636378E-2</v>
      </c>
      <c r="I83" s="73">
        <f t="shared" si="5"/>
        <v>4.5878352278636375E-2</v>
      </c>
      <c r="J83" s="73">
        <f t="shared" si="9"/>
        <v>8.7564255642538864</v>
      </c>
      <c r="K83" s="73">
        <f t="shared" si="10"/>
        <v>0.15865525393145707</v>
      </c>
      <c r="L83" s="14"/>
      <c r="M83" s="56"/>
      <c r="N83" s="57"/>
      <c r="O83" s="58" t="b">
        <f t="shared" si="11"/>
        <v>0</v>
      </c>
      <c r="T83" s="85">
        <f>$U$32+$B$38/100</f>
        <v>0.11573226</v>
      </c>
      <c r="U83" s="28">
        <f>$X$33</f>
        <v>11.115557334044729</v>
      </c>
    </row>
    <row r="84" spans="5:21" ht="15" x14ac:dyDescent="0.2">
      <c r="E84" s="72">
        <v>-0.8</v>
      </c>
      <c r="F84" s="73">
        <f t="shared" si="6"/>
        <v>5.5546052020274031E-2</v>
      </c>
      <c r="G84" s="73">
        <f t="shared" si="7"/>
        <v>7.9060318707856991</v>
      </c>
      <c r="H84" s="73">
        <f t="shared" si="8"/>
        <v>8.6598258187915125E-2</v>
      </c>
      <c r="I84" s="73">
        <f t="shared" si="5"/>
        <v>5.1598258187915122E-2</v>
      </c>
      <c r="J84" s="73">
        <f t="shared" si="9"/>
        <v>9.790908794484416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0.12202974000000001</v>
      </c>
      <c r="U84" s="28">
        <f>$X$33</f>
        <v>11.115557334044729</v>
      </c>
    </row>
    <row r="85" spans="5:21" ht="15" x14ac:dyDescent="0.2">
      <c r="E85" s="72">
        <v>-0.6</v>
      </c>
      <c r="F85" s="73">
        <f t="shared" si="6"/>
        <v>6.287441996758647E-2</v>
      </c>
      <c r="G85" s="73">
        <f t="shared" si="7"/>
        <v>9.0941013138949778</v>
      </c>
      <c r="H85" s="73">
        <f t="shared" si="8"/>
        <v>9.2722689198030353E-2</v>
      </c>
      <c r="I85" s="73">
        <f t="shared" si="5"/>
        <v>5.772268919803035E-2</v>
      </c>
      <c r="J85" s="73">
        <f t="shared" si="9"/>
        <v>10.518344006733967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0.12215826</v>
      </c>
      <c r="U85" s="28">
        <f>$X$34</f>
        <v>7.41037155602982</v>
      </c>
    </row>
    <row r="86" spans="5:21" ht="15" x14ac:dyDescent="0.2">
      <c r="E86" s="72">
        <v>-0.4</v>
      </c>
      <c r="F86" s="73">
        <f t="shared" si="6"/>
        <v>7.0202787914898909E-2</v>
      </c>
      <c r="G86" s="73">
        <f t="shared" si="7"/>
        <v>10.050536298150266</v>
      </c>
      <c r="H86" s="73">
        <f t="shared" si="8"/>
        <v>9.928025426860522E-2</v>
      </c>
      <c r="I86" s="73">
        <f t="shared" si="5"/>
        <v>6.4280254268605216E-2</v>
      </c>
      <c r="J86" s="73">
        <f t="shared" si="9"/>
        <v>10.856752983066235</v>
      </c>
      <c r="K86" s="73">
        <f t="shared" si="10"/>
        <v>0.34457825838967604</v>
      </c>
      <c r="M86" s="56"/>
      <c r="N86" s="57"/>
      <c r="O86" s="58" t="b">
        <f t="shared" si="11"/>
        <v>0</v>
      </c>
      <c r="T86" s="85">
        <f>$U$34-$B$38/100</f>
        <v>0.12845573999999998</v>
      </c>
      <c r="U86" s="28">
        <f>$X$34</f>
        <v>7.41037155602982</v>
      </c>
    </row>
    <row r="87" spans="5:21" ht="15" x14ac:dyDescent="0.2">
      <c r="E87" s="72">
        <v>-0.2</v>
      </c>
      <c r="F87" s="73">
        <f t="shared" si="6"/>
        <v>7.7531155862211362E-2</v>
      </c>
      <c r="G87" s="73">
        <f t="shared" si="7"/>
        <v>10.672026753756661</v>
      </c>
      <c r="H87" s="73">
        <f t="shared" si="8"/>
        <v>0.10630158565168402</v>
      </c>
      <c r="I87" s="73">
        <f t="shared" si="5"/>
        <v>7.1301585651684013E-2</v>
      </c>
      <c r="J87" s="73">
        <f t="shared" si="9"/>
        <v>10.766654172958678</v>
      </c>
      <c r="K87" s="73">
        <f t="shared" si="10"/>
        <v>0.42074029056089707</v>
      </c>
      <c r="M87" s="56"/>
      <c r="N87" s="57"/>
      <c r="O87" s="58" t="b">
        <f t="shared" si="11"/>
        <v>0</v>
      </c>
      <c r="T87" s="85">
        <f>$U$34+$B$38/100</f>
        <v>0.12858426000000001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8.4859523809523801E-2</v>
      </c>
      <c r="G88" s="73">
        <f t="shared" si="7"/>
        <v>10.887615994983936</v>
      </c>
      <c r="H88" s="73">
        <f t="shared" si="8"/>
        <v>0.11381948198369646</v>
      </c>
      <c r="I88" s="73">
        <f t="shared" si="5"/>
        <v>7.8819481983696454E-2</v>
      </c>
      <c r="J88" s="73">
        <f t="shared" si="9"/>
        <v>10.258640039237388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0.13488174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9.218789175683624E-2</v>
      </c>
      <c r="G89" s="73">
        <f t="shared" si="7"/>
        <v>10.672026753756661</v>
      </c>
      <c r="H89" s="73">
        <f t="shared" si="8"/>
        <v>0.12186906149721927</v>
      </c>
      <c r="I89" s="73">
        <f t="shared" si="5"/>
        <v>8.6869061497219263E-2</v>
      </c>
      <c r="J89" s="73">
        <f t="shared" si="9"/>
        <v>9.3913286660941662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0.13501026000000002</v>
      </c>
      <c r="U89" s="28">
        <f>$X$36</f>
        <v>3.70518577801491</v>
      </c>
    </row>
    <row r="90" spans="5:21" ht="15" x14ac:dyDescent="0.2">
      <c r="E90" s="72">
        <v>0.4</v>
      </c>
      <c r="F90" s="73">
        <f t="shared" si="6"/>
        <v>9.9516259704148693E-2</v>
      </c>
      <c r="G90" s="73">
        <f t="shared" si="7"/>
        <v>10.050536298150266</v>
      </c>
      <c r="H90" s="73">
        <f t="shared" si="8"/>
        <v>0.1304879260682317</v>
      </c>
      <c r="I90" s="73">
        <f t="shared" si="5"/>
        <v>9.5487926068231699E-2</v>
      </c>
      <c r="J90" s="73">
        <f t="shared" si="9"/>
        <v>8.2602370132440015</v>
      </c>
      <c r="K90" s="73">
        <f t="shared" si="10"/>
        <v>0.65542174161032396</v>
      </c>
      <c r="M90" s="56"/>
      <c r="N90" s="57"/>
      <c r="O90" s="58" t="b">
        <f t="shared" si="11"/>
        <v>0</v>
      </c>
      <c r="T90" s="85">
        <f>$U$36-$B$38/100</f>
        <v>0.14130773999999999</v>
      </c>
      <c r="U90" s="28">
        <f>$X$36</f>
        <v>3.70518577801491</v>
      </c>
    </row>
    <row r="91" spans="5:21" ht="15" x14ac:dyDescent="0.2">
      <c r="E91" s="72">
        <v>0.6</v>
      </c>
      <c r="F91" s="73">
        <f t="shared" si="6"/>
        <v>0.10684462765146113</v>
      </c>
      <c r="G91" s="73">
        <f t="shared" si="7"/>
        <v>9.0941013138949778</v>
      </c>
      <c r="H91" s="73">
        <f t="shared" si="8"/>
        <v>0.13971633686517576</v>
      </c>
      <c r="I91" s="73">
        <f t="shared" si="5"/>
        <v>0.10471633686517576</v>
      </c>
      <c r="J91" s="73">
        <f t="shared" si="9"/>
        <v>6.9804946514987636</v>
      </c>
      <c r="K91" s="73">
        <f t="shared" si="10"/>
        <v>0.72574688224992656</v>
      </c>
      <c r="M91" s="56"/>
      <c r="N91" s="57"/>
      <c r="O91" s="58" t="b">
        <f t="shared" si="11"/>
        <v>0</v>
      </c>
      <c r="T91" s="85">
        <f>$U$36+$B$38/100</f>
        <v>0.14143626000000001</v>
      </c>
      <c r="U91" s="28">
        <f>$X$37</f>
        <v>7.41037155602982</v>
      </c>
    </row>
    <row r="92" spans="5:21" ht="15" x14ac:dyDescent="0.2">
      <c r="E92" s="72">
        <v>0.80000000000001004</v>
      </c>
      <c r="F92" s="73">
        <f t="shared" si="6"/>
        <v>0.11417299559877395</v>
      </c>
      <c r="G92" s="73">
        <f t="shared" si="7"/>
        <v>7.9060318707856352</v>
      </c>
      <c r="H92" s="73">
        <f t="shared" si="8"/>
        <v>0.14959740242032851</v>
      </c>
      <c r="I92" s="73">
        <f t="shared" si="5"/>
        <v>0.11459740242032851</v>
      </c>
      <c r="J92" s="73">
        <f t="shared" si="9"/>
        <v>5.6677163771652959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0.14773374</v>
      </c>
      <c r="U92" s="28">
        <f>$X$37</f>
        <v>7.41037155602982</v>
      </c>
    </row>
    <row r="93" spans="5:21" ht="15" x14ac:dyDescent="0.2">
      <c r="E93" s="72">
        <v>1.00000000000001</v>
      </c>
      <c r="F93" s="73">
        <f t="shared" si="6"/>
        <v>0.12150136354608639</v>
      </c>
      <c r="G93" s="73">
        <f t="shared" si="7"/>
        <v>6.6036729121353588</v>
      </c>
      <c r="H93" s="73">
        <f t="shared" si="8"/>
        <v>0.16017728000201872</v>
      </c>
      <c r="I93" s="73">
        <f t="shared" si="5"/>
        <v>0.12517728000201872</v>
      </c>
      <c r="J93" s="73">
        <f t="shared" si="9"/>
        <v>4.4213840532093576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0.14786226000000002</v>
      </c>
      <c r="U93" s="28">
        <f>$X$38</f>
        <v>7.41037155602982</v>
      </c>
    </row>
    <row r="94" spans="5:21" ht="15" x14ac:dyDescent="0.2">
      <c r="E94" s="72">
        <v>1.2000000000000099</v>
      </c>
      <c r="F94" s="73">
        <f t="shared" si="6"/>
        <v>0.12882973149339882</v>
      </c>
      <c r="G94" s="73">
        <f t="shared" si="7"/>
        <v>5.299571647584238</v>
      </c>
      <c r="H94" s="73">
        <f t="shared" si="8"/>
        <v>0.17150539122836173</v>
      </c>
      <c r="I94" s="73">
        <f t="shared" si="5"/>
        <v>0.13650539122836172</v>
      </c>
      <c r="J94" s="73">
        <f t="shared" si="9"/>
        <v>3.3138785848893551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0.15415973999999999</v>
      </c>
      <c r="U94" s="28">
        <f>$X$38</f>
        <v>7.41037155602982</v>
      </c>
    </row>
    <row r="95" spans="5:21" ht="15" x14ac:dyDescent="0.2">
      <c r="E95" s="72">
        <v>1.4000000000000099</v>
      </c>
      <c r="F95" s="73">
        <f t="shared" si="6"/>
        <v>0.13615809944071128</v>
      </c>
      <c r="G95" s="73">
        <f t="shared" si="7"/>
        <v>4.086243122949436</v>
      </c>
      <c r="H95" s="73">
        <f t="shared" si="8"/>
        <v>0.18363465292969589</v>
      </c>
      <c r="I95" s="73">
        <f t="shared" si="5"/>
        <v>0.14863465292969588</v>
      </c>
      <c r="J95" s="73">
        <f t="shared" si="9"/>
        <v>2.3863995874118542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0.15428826000000001</v>
      </c>
      <c r="U95" s="28">
        <f>$X$39</f>
        <v>7.41037155602982</v>
      </c>
    </row>
    <row r="96" spans="5:21" ht="15" x14ac:dyDescent="0.2">
      <c r="E96" s="72">
        <v>1.6000000000000101</v>
      </c>
      <c r="F96" s="73">
        <f t="shared" si="6"/>
        <v>0.14348646738802373</v>
      </c>
      <c r="G96" s="73">
        <f t="shared" si="7"/>
        <v>3.0271633596162988</v>
      </c>
      <c r="H96" s="73">
        <f t="shared" si="8"/>
        <v>0.19662172433815206</v>
      </c>
      <c r="I96" s="73">
        <f t="shared" si="5"/>
        <v>0.16162172433815206</v>
      </c>
      <c r="J96" s="73">
        <f t="shared" si="9"/>
        <v>1.6511174173690488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0.16058574</v>
      </c>
      <c r="U96" s="28">
        <f>$X$39</f>
        <v>7.41037155602982</v>
      </c>
    </row>
    <row r="97" spans="5:21" ht="15" x14ac:dyDescent="0.2">
      <c r="E97" s="72">
        <v>1.80000000000001</v>
      </c>
      <c r="F97" s="73">
        <f t="shared" si="6"/>
        <v>0.15081483533533616</v>
      </c>
      <c r="G97" s="73">
        <f t="shared" si="7"/>
        <v>2.1546450415292369</v>
      </c>
      <c r="H97" s="73">
        <f t="shared" si="8"/>
        <v>0.2105272717590464</v>
      </c>
      <c r="I97" s="73">
        <f t="shared" si="5"/>
        <v>0.17552727175904639</v>
      </c>
      <c r="J97" s="73">
        <f t="shared" si="9"/>
        <v>1.0975921010192056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0.16071426000000003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0.15814320328264861</v>
      </c>
      <c r="G98" s="73">
        <f t="shared" si="7"/>
        <v>1.4734785944525954</v>
      </c>
      <c r="H98" s="73">
        <f t="shared" si="8"/>
        <v>0.22541625196045176</v>
      </c>
      <c r="I98" s="73">
        <f t="shared" si="5"/>
        <v>0.19041625196045175</v>
      </c>
      <c r="J98" s="73">
        <f t="shared" si="9"/>
        <v>0.70102290438518644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0.16547157122996103</v>
      </c>
      <c r="G99" s="73">
        <f t="shared" si="7"/>
        <v>0.96814442455063632</v>
      </c>
      <c r="H99" s="73">
        <f t="shared" si="8"/>
        <v>0.24135821560474127</v>
      </c>
      <c r="I99" s="73">
        <f t="shared" si="5"/>
        <v>0.20635821560474127</v>
      </c>
      <c r="J99" s="73">
        <f t="shared" si="9"/>
        <v>0.43018143450105611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0.17279993917727349</v>
      </c>
      <c r="G100" s="73">
        <f t="shared" si="7"/>
        <v>0.61117374170752914</v>
      </c>
      <c r="H100" s="73">
        <f t="shared" si="8"/>
        <v>0.25842763213951908</v>
      </c>
      <c r="I100" s="73">
        <f t="shared" si="5"/>
        <v>0.22342763213951908</v>
      </c>
      <c r="J100" s="73">
        <f t="shared" si="9"/>
        <v>0.25362925136673842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0.18012830712458594</v>
      </c>
      <c r="G101" s="73">
        <f t="shared" si="7"/>
        <v>0.37069561275690527</v>
      </c>
      <c r="H101" s="73">
        <f t="shared" si="8"/>
        <v>0.27670423766559638</v>
      </c>
      <c r="I101" s="73">
        <f t="shared" si="5"/>
        <v>0.24170423766559637</v>
      </c>
      <c r="J101" s="73">
        <f t="shared" si="9"/>
        <v>0.1436730253508848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0.18745667507189839</v>
      </c>
      <c r="G102" s="73">
        <f t="shared" si="7"/>
        <v>0.21602222049679129</v>
      </c>
      <c r="H102" s="73">
        <f t="shared" si="8"/>
        <v>0.29627340740700303</v>
      </c>
      <c r="I102" s="73">
        <f t="shared" si="5"/>
        <v>0.261273407407003</v>
      </c>
      <c r="J102" s="73">
        <f t="shared" si="9"/>
        <v>7.819506674514197E-2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0.19478504301921082</v>
      </c>
      <c r="G103" s="73">
        <f t="shared" si="7"/>
        <v>0.12095048839798443</v>
      </c>
      <c r="H103" s="73">
        <f t="shared" si="8"/>
        <v>0.31722655452294785</v>
      </c>
      <c r="I103" s="73">
        <f t="shared" si="5"/>
        <v>0.28222655452294787</v>
      </c>
      <c r="J103" s="73">
        <f t="shared" si="9"/>
        <v>4.0889489945653786E-2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0.20211341096652324</v>
      </c>
      <c r="G104" s="73">
        <f t="shared" si="7"/>
        <v>6.5064642458054933E-2</v>
      </c>
      <c r="H104" s="73">
        <f t="shared" si="8"/>
        <v>0.33966155712469154</v>
      </c>
      <c r="I104" s="73">
        <f t="shared" si="5"/>
        <v>0.30466155712469156</v>
      </c>
      <c r="J104" s="73">
        <f t="shared" si="9"/>
        <v>2.0543396693141598E-2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0.2094417789138357</v>
      </c>
      <c r="G105" s="73">
        <f t="shared" si="7"/>
        <v>3.3628747282670873E-2</v>
      </c>
      <c r="H105" s="73">
        <f t="shared" si="8"/>
        <v>0.36368321549205102</v>
      </c>
      <c r="I105" s="73">
        <f t="shared" si="5"/>
        <v>0.32868321549205104</v>
      </c>
      <c r="J105" s="73">
        <f t="shared" si="9"/>
        <v>9.9165597378330032E-3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0.21677014686114815</v>
      </c>
      <c r="G106" s="73">
        <f t="shared" si="7"/>
        <v>1.6699541685489618E-2</v>
      </c>
      <c r="H106" s="73">
        <f t="shared" si="8"/>
        <v>0.38940374162532104</v>
      </c>
      <c r="I106" s="73">
        <f t="shared" si="5"/>
        <v>0.35440374162532107</v>
      </c>
      <c r="J106" s="73">
        <f t="shared" si="9"/>
        <v>4.5991548600881086E-3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0.2240985148084606</v>
      </c>
      <c r="G107" s="73">
        <f t="shared" si="7"/>
        <v>7.9675837209706498E-3</v>
      </c>
      <c r="H107" s="73">
        <f t="shared" si="8"/>
        <v>0.4169432834194518</v>
      </c>
      <c r="I107" s="73">
        <f t="shared" si="5"/>
        <v>0.38194328341945183</v>
      </c>
      <c r="J107" s="73">
        <f t="shared" si="9"/>
        <v>2.0493835909005521E-3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0.23142688275577303</v>
      </c>
      <c r="G108" s="73">
        <f t="shared" si="7"/>
        <v>3.6523882732705892E-3</v>
      </c>
      <c r="H108" s="73">
        <f t="shared" si="8"/>
        <v>0.4464304859090476</v>
      </c>
      <c r="I108" s="73">
        <f t="shared" si="5"/>
        <v>0.41143048590904763</v>
      </c>
      <c r="J108" s="73">
        <f t="shared" si="9"/>
        <v>8.7739811432985498E-4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0.23875525070308548</v>
      </c>
      <c r="G109" s="73">
        <f t="shared" si="7"/>
        <v>1.608627410094872E-3</v>
      </c>
      <c r="H109" s="73">
        <f t="shared" si="8"/>
        <v>0.47800309220592269</v>
      </c>
      <c r="I109" s="73">
        <f t="shared" si="5"/>
        <v>0.44300309220592271</v>
      </c>
      <c r="J109" s="73">
        <f t="shared" si="9"/>
        <v>3.6090953797173592E-4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0.24608361865039793</v>
      </c>
      <c r="G110" s="73">
        <f t="shared" si="7"/>
        <v>6.8071012452915127E-4</v>
      </c>
      <c r="H110" s="73">
        <f t="shared" si="8"/>
        <v>0.51180858693636366</v>
      </c>
      <c r="I110" s="73">
        <f t="shared" si="5"/>
        <v>0.47680858693636363</v>
      </c>
      <c r="J110" s="73">
        <f t="shared" si="9"/>
        <v>1.4263570175977521E-4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0.25341198659771036</v>
      </c>
      <c r="G111" s="73">
        <f t="shared" si="7"/>
        <v>2.7675608371179679E-4</v>
      </c>
      <c r="H111" s="73">
        <f t="shared" si="8"/>
        <v>0.54800488518377732</v>
      </c>
      <c r="I111" s="73">
        <f t="shared" si="5"/>
        <v>0.51300488518377729</v>
      </c>
      <c r="J111" s="73">
        <f t="shared" si="9"/>
        <v>5.4160959238099166E-5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0.26074035454502276</v>
      </c>
      <c r="G112" s="73">
        <f t="shared" si="7"/>
        <v>1.0810862990264147E-4</v>
      </c>
      <c r="H112" s="73">
        <f t="shared" si="8"/>
        <v>0.58676107015497259</v>
      </c>
      <c r="I112" s="73">
        <f t="shared" si="5"/>
        <v>0.55176107015497255</v>
      </c>
      <c r="J112" s="73">
        <f t="shared" si="9"/>
        <v>1.9759350842102351E-5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0.26806872249233488</v>
      </c>
      <c r="G113" s="73">
        <f t="shared" si="7"/>
        <v>4.0574368684081353E-5</v>
      </c>
      <c r="H113" s="73">
        <f t="shared" si="8"/>
        <v>0.62825818301591929</v>
      </c>
      <c r="I113" s="73">
        <f t="shared" si="5"/>
        <v>0.59325818301591926</v>
      </c>
      <c r="J113" s="73">
        <f t="shared" si="9"/>
        <v>6.9260754501858773E-6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0.5776611265901298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-0.59891985764426547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1.6780205275047488E-5</v>
      </c>
      <c r="H120" s="69" t="s">
        <v>50</v>
      </c>
      <c r="I120" s="79">
        <f>IF($B$9&gt;3,INDEX(XX!$C$4:$C$150,$B$9))</f>
        <v>0.29399999999999998</v>
      </c>
      <c r="J120" s="79">
        <f>IF($B$9&gt;3,INDEX(XX!$D$4:$D$150,$B$9))</f>
        <v>0.38019999999999998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1E-4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-0.59891985596624497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42681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0.11727608370003639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134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135" t="s">
        <v>0</v>
      </c>
      <c r="N2" s="135" t="s">
        <v>79</v>
      </c>
      <c r="O2" s="13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35926</v>
      </c>
      <c r="N3" s="57">
        <v>100</v>
      </c>
      <c r="O3" s="58">
        <f t="shared" ref="O3:O66" si="0">IF($N3&gt;0,LN($N3+$B$26))</f>
        <v>4.6249728132842707</v>
      </c>
      <c r="T3" s="69" t="s">
        <v>109</v>
      </c>
      <c r="U3" s="82">
        <f>$B$21</f>
        <v>212.17395745739373</v>
      </c>
      <c r="V3" s="82">
        <f t="shared" ref="V3:V10" si="1">U3</f>
        <v>212.17395745739373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36117</v>
      </c>
      <c r="N4" s="57">
        <v>100</v>
      </c>
      <c r="O4" s="58">
        <f t="shared" si="0"/>
        <v>4.6249728132842707</v>
      </c>
      <c r="T4" s="69" t="s">
        <v>111</v>
      </c>
      <c r="U4" s="82">
        <f>$B$31</f>
        <v>196.53946367224148</v>
      </c>
      <c r="V4" s="82">
        <f t="shared" si="1"/>
        <v>196.53946367224148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36306</v>
      </c>
      <c r="N5" s="57">
        <v>120</v>
      </c>
      <c r="O5" s="58">
        <f t="shared" si="0"/>
        <v>4.8040210447332568</v>
      </c>
      <c r="T5" s="69" t="s">
        <v>110</v>
      </c>
      <c r="U5" s="82">
        <f>$B$22</f>
        <v>229.61545768068669</v>
      </c>
      <c r="V5" s="82">
        <f t="shared" si="1"/>
        <v>229.61545768068669</v>
      </c>
    </row>
    <row r="6" spans="1:24" ht="15" customHeight="1" x14ac:dyDescent="0.25">
      <c r="A6" s="107" t="s">
        <v>18</v>
      </c>
      <c r="B6" s="116">
        <v>100</v>
      </c>
      <c r="C6" s="18"/>
      <c r="M6" s="56">
        <v>36506</v>
      </c>
      <c r="N6" s="57">
        <v>100</v>
      </c>
      <c r="O6" s="58">
        <f t="shared" si="0"/>
        <v>4.6249728132842707</v>
      </c>
      <c r="T6" s="69" t="s">
        <v>29</v>
      </c>
      <c r="U6" s="82">
        <f>$B$32</f>
        <v>225.91755748664374</v>
      </c>
      <c r="V6" s="82">
        <f t="shared" si="1"/>
        <v>225.91755748664374</v>
      </c>
    </row>
    <row r="7" spans="1:24" ht="15" customHeight="1" x14ac:dyDescent="0.2">
      <c r="D7" s="4"/>
      <c r="F7" s="5"/>
      <c r="M7" s="56">
        <v>36872</v>
      </c>
      <c r="N7" s="57">
        <v>100</v>
      </c>
      <c r="O7" s="58">
        <f t="shared" si="0"/>
        <v>4.6249728132842707</v>
      </c>
      <c r="T7" s="69" t="s">
        <v>31</v>
      </c>
      <c r="U7" s="82">
        <f>$C$21</f>
        <v>25.567978026477249</v>
      </c>
      <c r="V7" s="82">
        <f t="shared" si="1"/>
        <v>25.567978026477249</v>
      </c>
    </row>
    <row r="8" spans="1:24" ht="15" customHeight="1" x14ac:dyDescent="0.25">
      <c r="A8" s="140" t="s">
        <v>12</v>
      </c>
      <c r="B8" s="140"/>
      <c r="C8" s="140"/>
      <c r="D8" s="4"/>
      <c r="M8" s="56">
        <v>37029</v>
      </c>
      <c r="N8" s="57">
        <v>160</v>
      </c>
      <c r="O8" s="58">
        <f t="shared" si="0"/>
        <v>5.0875963352323836</v>
      </c>
      <c r="T8" s="69" t="s">
        <v>32</v>
      </c>
      <c r="U8" s="82">
        <f>$C$31</f>
        <v>4.0744154981994125</v>
      </c>
      <c r="V8" s="82">
        <f t="shared" si="1"/>
        <v>4.0744154981994125</v>
      </c>
    </row>
    <row r="9" spans="1:24" ht="15" customHeight="1" x14ac:dyDescent="0.2">
      <c r="A9" s="101" t="s">
        <v>11</v>
      </c>
      <c r="B9" s="59">
        <f>COUNT($M$3:$M252)</f>
        <v>31</v>
      </c>
      <c r="C9" s="60"/>
      <c r="D9" s="4"/>
      <c r="M9" s="56">
        <v>37190</v>
      </c>
      <c r="N9" s="57">
        <v>100</v>
      </c>
      <c r="O9" s="58">
        <f t="shared" si="0"/>
        <v>4.6249728132842707</v>
      </c>
      <c r="T9" s="69" t="s">
        <v>112</v>
      </c>
      <c r="U9" s="82">
        <f>$C$22</f>
        <v>8.1264778031842866</v>
      </c>
      <c r="V9" s="82">
        <f t="shared" si="1"/>
        <v>8.1264778031842866</v>
      </c>
    </row>
    <row r="10" spans="1:24" ht="15" customHeight="1" x14ac:dyDescent="0.2">
      <c r="A10" s="102" t="s">
        <v>7</v>
      </c>
      <c r="B10" s="61">
        <f>MIN($N$3:$N$252)</f>
        <v>40</v>
      </c>
      <c r="C10" s="60"/>
      <c r="D10" s="4"/>
      <c r="M10" s="56">
        <v>37383</v>
      </c>
      <c r="N10" s="57">
        <v>200</v>
      </c>
      <c r="O10" s="58">
        <f t="shared" si="0"/>
        <v>5.3082676974012051</v>
      </c>
      <c r="T10" s="69" t="s">
        <v>113</v>
      </c>
      <c r="U10" s="82">
        <f>$C$32</f>
        <v>3.9507663784013145</v>
      </c>
      <c r="V10" s="82">
        <f t="shared" si="1"/>
        <v>3.9507663784013145</v>
      </c>
    </row>
    <row r="11" spans="1:24" ht="15" customHeight="1" x14ac:dyDescent="0.2">
      <c r="A11" s="102" t="s">
        <v>8</v>
      </c>
      <c r="B11" s="61">
        <f>MAX($N$3:$N$252)</f>
        <v>300</v>
      </c>
      <c r="C11" s="60"/>
      <c r="D11" s="4"/>
      <c r="M11" s="56">
        <v>37573</v>
      </c>
      <c r="N11" s="57">
        <v>100</v>
      </c>
      <c r="O11" s="58">
        <f t="shared" si="0"/>
        <v>4.6249728132842707</v>
      </c>
      <c r="T11" s="69" t="s">
        <v>68</v>
      </c>
      <c r="U11" s="82">
        <f>$B$12</f>
        <v>100</v>
      </c>
      <c r="V11" s="82">
        <f>U11</f>
        <v>100</v>
      </c>
    </row>
    <row r="12" spans="1:24" ht="15" customHeight="1" x14ac:dyDescent="0.2">
      <c r="A12" s="102" t="s">
        <v>68</v>
      </c>
      <c r="B12" s="62">
        <f>MEDIAN($N$3:$N$252)</f>
        <v>100</v>
      </c>
      <c r="C12" s="50"/>
      <c r="D12" s="4"/>
      <c r="M12" s="56">
        <v>37762</v>
      </c>
      <c r="N12" s="57">
        <v>90</v>
      </c>
      <c r="O12" s="58">
        <f t="shared" si="0"/>
        <v>4.5217885770490405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37888</v>
      </c>
      <c r="N13" s="57">
        <v>200</v>
      </c>
      <c r="O13" s="58">
        <f t="shared" si="0"/>
        <v>5.3082676974012051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38142</v>
      </c>
      <c r="N14" s="57">
        <v>100</v>
      </c>
      <c r="O14" s="58">
        <f t="shared" si="0"/>
        <v>4.6249728132842707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38285</v>
      </c>
      <c r="N15" s="57">
        <v>140</v>
      </c>
      <c r="O15" s="58">
        <f t="shared" si="0"/>
        <v>4.9558270576012609</v>
      </c>
      <c r="T15" s="69">
        <v>1</v>
      </c>
      <c r="U15" s="77">
        <f t="shared" ref="U15:U39" si="3">$B$36+T15*$B$38</f>
        <v>12.6</v>
      </c>
      <c r="V15" s="84">
        <f>FREQUENCY($N$3:$N$252,$U$15:$U$39)</f>
        <v>0</v>
      </c>
      <c r="W15" s="79">
        <f t="shared" ref="W15:W39" si="4">(U15+U14)/2</f>
        <v>6.3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118.87096774193549</v>
      </c>
      <c r="C16" s="60"/>
      <c r="M16" s="56">
        <v>39197</v>
      </c>
      <c r="N16" s="57">
        <v>100</v>
      </c>
      <c r="O16" s="58">
        <f t="shared" si="0"/>
        <v>4.6249728132842707</v>
      </c>
      <c r="T16" s="69">
        <v>2</v>
      </c>
      <c r="U16" s="77">
        <f t="shared" si="3"/>
        <v>25.2</v>
      </c>
      <c r="V16" s="84">
        <f t="array" ref="V16:V40">FREQUENCY($N$3:$N$252,$U$15:$U$39)</f>
        <v>0</v>
      </c>
      <c r="W16" s="79">
        <f t="shared" si="4"/>
        <v>18.899999999999999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47.604440924129392</v>
      </c>
      <c r="C17" s="60"/>
      <c r="D17" s="4"/>
      <c r="M17" s="56">
        <v>39374</v>
      </c>
      <c r="N17" s="57">
        <v>100</v>
      </c>
      <c r="O17" s="58">
        <f t="shared" si="0"/>
        <v>4.6249728132842707</v>
      </c>
      <c r="T17" s="69">
        <v>3</v>
      </c>
      <c r="U17" s="77">
        <f t="shared" si="3"/>
        <v>37.799999999999997</v>
      </c>
      <c r="V17" s="84">
        <v>0</v>
      </c>
      <c r="W17" s="79">
        <f t="shared" si="4"/>
        <v>31.5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0.41545415419448634</v>
      </c>
      <c r="C18" s="114" t="s">
        <v>45</v>
      </c>
      <c r="D18" s="4"/>
      <c r="J18" s="6"/>
      <c r="M18" s="56">
        <v>39566</v>
      </c>
      <c r="N18" s="57">
        <v>110</v>
      </c>
      <c r="O18" s="58">
        <f t="shared" si="0"/>
        <v>4.7184988712950942</v>
      </c>
      <c r="T18" s="69">
        <v>4</v>
      </c>
      <c r="U18" s="77">
        <f t="shared" si="3"/>
        <v>50.4</v>
      </c>
      <c r="V18" s="84">
        <v>0</v>
      </c>
      <c r="W18" s="79">
        <f t="shared" si="4"/>
        <v>44.099999999999994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mäßig</v>
      </c>
      <c r="C19" s="64"/>
      <c r="D19" s="4"/>
      <c r="M19" s="56">
        <v>39780</v>
      </c>
      <c r="N19" s="57">
        <v>100</v>
      </c>
      <c r="O19" s="58">
        <f t="shared" si="0"/>
        <v>4.6249728132842707</v>
      </c>
      <c r="T19" s="69">
        <v>5</v>
      </c>
      <c r="U19" s="77">
        <f t="shared" si="3"/>
        <v>63</v>
      </c>
      <c r="V19" s="84">
        <v>1</v>
      </c>
      <c r="W19" s="79">
        <f t="shared" si="4"/>
        <v>56.7</v>
      </c>
      <c r="X19" s="80">
        <f t="shared" si="2"/>
        <v>2.5601638504864311E-3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39926</v>
      </c>
      <c r="N20" s="57">
        <v>85</v>
      </c>
      <c r="O20" s="58">
        <f t="shared" si="0"/>
        <v>4.4659081186545837</v>
      </c>
      <c r="T20" s="69">
        <v>6</v>
      </c>
      <c r="U20" s="77">
        <f t="shared" si="3"/>
        <v>75.599999999999994</v>
      </c>
      <c r="V20" s="84">
        <v>0</v>
      </c>
      <c r="W20" s="79">
        <f t="shared" si="4"/>
        <v>69.3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212.17395745739373</v>
      </c>
      <c r="C21" s="62">
        <f>NORMINV(0.025,$B$16,$B$17)</f>
        <v>25.567978026477249</v>
      </c>
      <c r="D21" s="4"/>
      <c r="M21" s="56">
        <v>40098</v>
      </c>
      <c r="N21" s="57">
        <v>100</v>
      </c>
      <c r="O21" s="58">
        <f t="shared" si="0"/>
        <v>4.6249728132842707</v>
      </c>
      <c r="T21" s="69">
        <v>7</v>
      </c>
      <c r="U21" s="77">
        <f t="shared" si="3"/>
        <v>88.2</v>
      </c>
      <c r="V21" s="84">
        <v>0</v>
      </c>
      <c r="W21" s="79">
        <f t="shared" si="4"/>
        <v>81.900000000000006</v>
      </c>
      <c r="X21" s="80">
        <f t="shared" si="2"/>
        <v>0</v>
      </c>
    </row>
    <row r="22" spans="1:24" ht="15" customHeight="1" x14ac:dyDescent="0.2">
      <c r="A22" s="104" t="s">
        <v>77</v>
      </c>
      <c r="B22" s="62">
        <f>NORMINV(0.99,$B$16,$B$17)</f>
        <v>229.61545768068669</v>
      </c>
      <c r="C22" s="62">
        <f>NORMINV(0.01,B16,B17)</f>
        <v>8.1264778031842866</v>
      </c>
      <c r="M22" s="56">
        <v>40288</v>
      </c>
      <c r="N22" s="57">
        <v>120</v>
      </c>
      <c r="O22" s="58">
        <f t="shared" si="0"/>
        <v>4.8040210447332568</v>
      </c>
      <c r="T22" s="69">
        <v>8</v>
      </c>
      <c r="U22" s="77">
        <f t="shared" si="3"/>
        <v>100.8</v>
      </c>
      <c r="V22" s="84">
        <v>1</v>
      </c>
      <c r="W22" s="79">
        <f t="shared" si="4"/>
        <v>94.5</v>
      </c>
      <c r="X22" s="80">
        <f t="shared" si="2"/>
        <v>2.5601638504864311E-3</v>
      </c>
    </row>
    <row r="23" spans="1:24" ht="15" customHeight="1" x14ac:dyDescent="0.25">
      <c r="A23" s="112" t="s">
        <v>81</v>
      </c>
      <c r="B23" s="96">
        <f>MAX($B$22+0.5*$B$6,$B$6)</f>
        <v>279.61545768068669</v>
      </c>
      <c r="E23" s="144" t="s">
        <v>80</v>
      </c>
      <c r="F23" s="144"/>
      <c r="G23" s="144"/>
      <c r="M23" s="56">
        <v>40478</v>
      </c>
      <c r="N23" s="57">
        <v>100</v>
      </c>
      <c r="O23" s="58">
        <f t="shared" si="0"/>
        <v>4.6249728132842707</v>
      </c>
      <c r="T23" s="69">
        <v>9</v>
      </c>
      <c r="U23" s="77">
        <f t="shared" si="3"/>
        <v>113.39999999999999</v>
      </c>
      <c r="V23" s="84">
        <v>19</v>
      </c>
      <c r="W23" s="79">
        <f t="shared" si="4"/>
        <v>107.1</v>
      </c>
      <c r="X23" s="80">
        <f t="shared" si="2"/>
        <v>4.8643113159242191E-2</v>
      </c>
    </row>
    <row r="24" spans="1:24" ht="15" customHeight="1" x14ac:dyDescent="0.2">
      <c r="M24" s="56">
        <v>40665</v>
      </c>
      <c r="N24" s="57">
        <v>100</v>
      </c>
      <c r="O24" s="58">
        <f t="shared" si="0"/>
        <v>4.6249728132842707</v>
      </c>
      <c r="T24" s="69">
        <v>10</v>
      </c>
      <c r="U24" s="77">
        <f t="shared" si="3"/>
        <v>126</v>
      </c>
      <c r="V24" s="84">
        <v>1</v>
      </c>
      <c r="W24" s="79">
        <f t="shared" si="4"/>
        <v>119.69999999999999</v>
      </c>
      <c r="X24" s="80">
        <f t="shared" si="2"/>
        <v>2.5601638504864311E-3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40834</v>
      </c>
      <c r="N25" s="57">
        <v>100</v>
      </c>
      <c r="O25" s="58">
        <f t="shared" si="0"/>
        <v>4.6249728132842707</v>
      </c>
      <c r="Q25" s="75" t="s">
        <v>68</v>
      </c>
      <c r="R25" s="75">
        <f>MEDIAN($O$3:$O$252)</f>
        <v>4.6249728132842707</v>
      </c>
      <c r="T25" s="69">
        <v>11</v>
      </c>
      <c r="U25" s="77">
        <f t="shared" si="3"/>
        <v>138.6</v>
      </c>
      <c r="V25" s="84">
        <v>2</v>
      </c>
      <c r="W25" s="79">
        <f t="shared" si="4"/>
        <v>132.30000000000001</v>
      </c>
      <c r="X25" s="80">
        <f t="shared" si="2"/>
        <v>5.1203277009728623E-3</v>
      </c>
    </row>
    <row r="26" spans="1:24" ht="15" customHeight="1" x14ac:dyDescent="0.2">
      <c r="A26" s="86" t="s">
        <v>36</v>
      </c>
      <c r="B26" s="134">
        <v>2</v>
      </c>
      <c r="C26" s="62"/>
      <c r="E26" s="7" t="e">
        <f>AVERAGE(C50:C199)</f>
        <v>#DIV/0!</v>
      </c>
      <c r="M26" s="56">
        <v>41025</v>
      </c>
      <c r="N26" s="57">
        <v>300</v>
      </c>
      <c r="O26" s="58">
        <f t="shared" si="0"/>
        <v>5.7104270173748697</v>
      </c>
      <c r="Q26" s="75" t="s">
        <v>73</v>
      </c>
      <c r="R26" s="75">
        <f>AVERAGE($O$3:$O$252)</f>
        <v>4.7358742262416316</v>
      </c>
      <c r="T26" s="69">
        <v>12</v>
      </c>
      <c r="U26" s="77">
        <f t="shared" si="3"/>
        <v>151.19999999999999</v>
      </c>
      <c r="V26" s="84">
        <v>1</v>
      </c>
      <c r="W26" s="79">
        <f t="shared" si="4"/>
        <v>144.89999999999998</v>
      </c>
      <c r="X26" s="80">
        <f t="shared" si="2"/>
        <v>2.5601638504864311E-3</v>
      </c>
    </row>
    <row r="27" spans="1:24" ht="15" customHeight="1" x14ac:dyDescent="0.2">
      <c r="A27" s="65" t="s">
        <v>17</v>
      </c>
      <c r="B27" s="62">
        <f>EXP($R$26)</f>
        <v>113.96304466576626</v>
      </c>
      <c r="C27" s="62"/>
      <c r="E27" s="7" t="e">
        <f>STDEV(C50:C199)</f>
        <v>#DIV/0!</v>
      </c>
      <c r="F27" s="7" t="e">
        <f>NORMINV(0.025,$E26,$E27)</f>
        <v>#DIV/0!</v>
      </c>
      <c r="M27" s="56">
        <v>41204</v>
      </c>
      <c r="N27" s="57">
        <v>100</v>
      </c>
      <c r="O27" s="58">
        <f t="shared" si="0"/>
        <v>4.6249728132842707</v>
      </c>
      <c r="Q27" s="75" t="s">
        <v>104</v>
      </c>
      <c r="R27" s="75">
        <f>STDEV($O$3:$O$252)</f>
        <v>0.33748514424740494</v>
      </c>
      <c r="T27" s="69">
        <v>13</v>
      </c>
      <c r="U27" s="77">
        <f t="shared" si="3"/>
        <v>163.79999999999998</v>
      </c>
      <c r="V27" s="84">
        <v>1</v>
      </c>
      <c r="W27" s="79">
        <f t="shared" si="4"/>
        <v>157.5</v>
      </c>
      <c r="X27" s="80">
        <f t="shared" si="2"/>
        <v>2.5601638504864311E-3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0.34439657338725171</v>
      </c>
      <c r="C28" s="115" t="s">
        <v>45</v>
      </c>
      <c r="F28" s="7" t="e">
        <f>NORMINV(0.01,$E$26,$E$27)</f>
        <v>#DIV/0!</v>
      </c>
      <c r="M28" s="56">
        <v>41400</v>
      </c>
      <c r="N28" s="57">
        <v>40</v>
      </c>
      <c r="O28" s="58">
        <f t="shared" si="0"/>
        <v>3.7376696182833684</v>
      </c>
      <c r="Q28" s="75" t="s">
        <v>108</v>
      </c>
      <c r="R28" s="75">
        <f>NORMINV(0.025,$R$26,$R$27)</f>
        <v>4.0744154981994125</v>
      </c>
      <c r="T28" s="69">
        <v>14</v>
      </c>
      <c r="U28" s="77">
        <f t="shared" si="3"/>
        <v>176.4</v>
      </c>
      <c r="V28" s="84">
        <v>1</v>
      </c>
      <c r="W28" s="79">
        <f t="shared" si="4"/>
        <v>170.1</v>
      </c>
      <c r="X28" s="80">
        <f t="shared" si="2"/>
        <v>2.5601638504864311E-3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41575</v>
      </c>
      <c r="N29" s="57">
        <v>130</v>
      </c>
      <c r="O29" s="58">
        <f t="shared" si="0"/>
        <v>4.8828019225863706</v>
      </c>
      <c r="Q29" s="75" t="s">
        <v>107</v>
      </c>
      <c r="R29" s="75">
        <f>NORMINV(0.01,$R$26,$R$27)</f>
        <v>3.9507663784013145</v>
      </c>
      <c r="T29" s="69">
        <v>15</v>
      </c>
      <c r="U29" s="77">
        <f t="shared" si="3"/>
        <v>189</v>
      </c>
      <c r="V29" s="84">
        <v>0</v>
      </c>
      <c r="W29" s="79">
        <f t="shared" si="4"/>
        <v>182.7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41873</v>
      </c>
      <c r="N30" s="57">
        <v>100</v>
      </c>
      <c r="O30" s="58">
        <f t="shared" si="0"/>
        <v>4.6249728132842707</v>
      </c>
      <c r="Q30" s="75" t="s">
        <v>105</v>
      </c>
      <c r="R30" s="75">
        <f>NORMINV(0.95,$R$26,$R$27)</f>
        <v>5.290987889799216</v>
      </c>
      <c r="T30" s="69">
        <v>16</v>
      </c>
      <c r="U30" s="77">
        <f t="shared" si="3"/>
        <v>201.6</v>
      </c>
      <c r="V30" s="84">
        <v>0</v>
      </c>
      <c r="W30" s="79">
        <f t="shared" si="4"/>
        <v>195.3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196.53946367224148</v>
      </c>
      <c r="C31" s="62">
        <f>NORMINV(0.025,$R$26,$R$27)</f>
        <v>4.0744154981994125</v>
      </c>
      <c r="E31" s="7" t="e">
        <f>NORMINV(0.98,$E$26,$E$27)</f>
        <v>#DIV/0!</v>
      </c>
      <c r="M31" s="56">
        <v>41936</v>
      </c>
      <c r="N31" s="57">
        <v>190</v>
      </c>
      <c r="O31" s="58">
        <f t="shared" si="0"/>
        <v>5.2574953720277815</v>
      </c>
      <c r="Q31" s="75" t="s">
        <v>106</v>
      </c>
      <c r="R31" s="75">
        <f>NORMINV(0.98,$R$26,$R$27)</f>
        <v>5.4289839735941632</v>
      </c>
      <c r="T31" s="69">
        <v>17</v>
      </c>
      <c r="U31" s="77">
        <f t="shared" si="3"/>
        <v>214.2</v>
      </c>
      <c r="V31" s="84">
        <v>3</v>
      </c>
      <c r="W31" s="79">
        <f t="shared" si="4"/>
        <v>207.89999999999998</v>
      </c>
      <c r="X31" s="80">
        <f t="shared" si="2"/>
        <v>7.6804915514592943E-3</v>
      </c>
    </row>
    <row r="32" spans="1:24" ht="15" customHeight="1" x14ac:dyDescent="0.2">
      <c r="A32" s="65" t="s">
        <v>86</v>
      </c>
      <c r="B32" s="62">
        <f>EXP($R$31)-$B$26</f>
        <v>225.91755748664374</v>
      </c>
      <c r="C32" s="62">
        <f>NORMINV(0.01,$R$26,$R$27)</f>
        <v>3.9507663784013145</v>
      </c>
      <c r="M32" s="56">
        <v>42108</v>
      </c>
      <c r="N32" s="57">
        <v>100</v>
      </c>
      <c r="O32" s="58">
        <f t="shared" si="0"/>
        <v>4.6249728132842707</v>
      </c>
      <c r="T32" s="69">
        <v>18</v>
      </c>
      <c r="U32" s="77">
        <f t="shared" si="3"/>
        <v>226.79999999999998</v>
      </c>
      <c r="V32" s="84">
        <v>0</v>
      </c>
      <c r="W32" s="79">
        <f t="shared" si="4"/>
        <v>220.5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275.91755748664377</v>
      </c>
      <c r="M33" s="56">
        <v>42299</v>
      </c>
      <c r="N33" s="57">
        <v>100</v>
      </c>
      <c r="O33" s="58">
        <f t="shared" si="0"/>
        <v>4.6249728132842707</v>
      </c>
      <c r="T33" s="69">
        <v>19</v>
      </c>
      <c r="U33" s="77">
        <f t="shared" si="3"/>
        <v>239.4</v>
      </c>
      <c r="V33" s="84">
        <v>0</v>
      </c>
      <c r="W33" s="79">
        <f t="shared" si="4"/>
        <v>233.1</v>
      </c>
      <c r="X33" s="80">
        <f t="shared" si="2"/>
        <v>0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252</v>
      </c>
      <c r="V34" s="84">
        <v>0</v>
      </c>
      <c r="W34" s="79">
        <f t="shared" si="4"/>
        <v>245.7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264.59999999999997</v>
      </c>
      <c r="V35" s="84">
        <v>0</v>
      </c>
      <c r="W35" s="79">
        <f t="shared" si="4"/>
        <v>258.29999999999995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277.2</v>
      </c>
      <c r="V36" s="84">
        <v>0</v>
      </c>
      <c r="W36" s="79">
        <f t="shared" si="4"/>
        <v>270.89999999999998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315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289.8</v>
      </c>
      <c r="V37" s="84">
        <v>0</v>
      </c>
      <c r="W37" s="79">
        <f t="shared" si="4"/>
        <v>283.5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12.6</v>
      </c>
      <c r="M38" s="56"/>
      <c r="N38" s="57"/>
      <c r="O38" s="58" t="b">
        <f t="shared" si="0"/>
        <v>0</v>
      </c>
      <c r="T38" s="69">
        <v>24</v>
      </c>
      <c r="U38" s="77">
        <f t="shared" si="3"/>
        <v>302.39999999999998</v>
      </c>
      <c r="V38" s="84">
        <v>0</v>
      </c>
      <c r="W38" s="79">
        <f t="shared" si="4"/>
        <v>296.10000000000002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315</v>
      </c>
      <c r="V39" s="84">
        <v>1</v>
      </c>
      <c r="W39" s="79">
        <f t="shared" si="4"/>
        <v>308.7</v>
      </c>
      <c r="X39" s="80">
        <f t="shared" si="2"/>
        <v>2.5601638504864311E-3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-0.126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0.126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12.474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12.725999999999999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25.073999999999998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25.326000000000001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37.673999999999999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37.925999999999995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50.274000000000001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50.525999999999996</v>
      </c>
      <c r="U55" s="28">
        <f>$X$19</f>
        <v>2.5601638504864311E-3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62.874000000000002</v>
      </c>
      <c r="U56" s="28">
        <f>$X$19</f>
        <v>2.5601638504864311E-3</v>
      </c>
    </row>
    <row r="57" spans="5:21" ht="15" x14ac:dyDescent="0.2">
      <c r="E57" s="70">
        <v>1</v>
      </c>
      <c r="F57" s="74">
        <f>$B$21</f>
        <v>212.17395745739373</v>
      </c>
      <c r="G57" s="74">
        <f>$C$21</f>
        <v>25.567978026477249</v>
      </c>
      <c r="H57" s="74">
        <f>$B$22</f>
        <v>229.61545768068669</v>
      </c>
      <c r="I57" s="74">
        <f>$C$22</f>
        <v>8.1264778031842866</v>
      </c>
      <c r="J57" s="74">
        <f>$B$31</f>
        <v>196.53946367224148</v>
      </c>
      <c r="K57" s="74">
        <f>$B$32</f>
        <v>225.91755748664374</v>
      </c>
      <c r="M57" s="56"/>
      <c r="N57" s="57"/>
      <c r="O57" s="58" t="b">
        <f t="shared" si="0"/>
        <v>0</v>
      </c>
      <c r="T57" s="85">
        <f>$U$19+$B$38/100</f>
        <v>63.125999999999998</v>
      </c>
      <c r="U57" s="28">
        <f>$X$20</f>
        <v>0</v>
      </c>
    </row>
    <row r="58" spans="5:21" ht="15" x14ac:dyDescent="0.2">
      <c r="E58" s="70">
        <v>51501</v>
      </c>
      <c r="F58" s="74">
        <f>$B$21</f>
        <v>212.17395745739373</v>
      </c>
      <c r="G58" s="74">
        <f>$C$21</f>
        <v>25.567978026477249</v>
      </c>
      <c r="H58" s="74">
        <f>$B$22</f>
        <v>229.61545768068669</v>
      </c>
      <c r="I58" s="74">
        <f>$C$22</f>
        <v>8.1264778031842866</v>
      </c>
      <c r="J58" s="74">
        <f>$B$31</f>
        <v>196.53946367224148</v>
      </c>
      <c r="K58" s="74">
        <f>$B$32</f>
        <v>225.91755748664374</v>
      </c>
      <c r="M58" s="56"/>
      <c r="N58" s="57"/>
      <c r="O58" s="58" t="b">
        <f t="shared" si="0"/>
        <v>0</v>
      </c>
      <c r="T58" s="85">
        <f>$U$20-$B$38/100</f>
        <v>75.47399999999999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75.725999999999999</v>
      </c>
      <c r="U59" s="28">
        <f>$X$21</f>
        <v>0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88.073999999999998</v>
      </c>
      <c r="U60" s="28">
        <f>$X$21</f>
        <v>0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88.326000000000008</v>
      </c>
      <c r="U61" s="28">
        <f>$X$22</f>
        <v>2.5601638504864311E-3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100.67399999999999</v>
      </c>
      <c r="U62" s="28">
        <f>$X$22</f>
        <v>2.5601638504864311E-3</v>
      </c>
    </row>
    <row r="63" spans="5:21" ht="15" x14ac:dyDescent="0.2">
      <c r="E63" s="72">
        <v>-5</v>
      </c>
      <c r="F63" s="73">
        <f>$B$16+$E63*$B$17</f>
        <v>-119.15123687871147</v>
      </c>
      <c r="G63" s="73">
        <f>NORMDIST($F63,$B$16,$B$17,FALSE)</f>
        <v>3.1230689529655208E-8</v>
      </c>
      <c r="H63" s="73">
        <f>EXP($R$26+$E63*$R$27)</f>
        <v>21.082609471965487</v>
      </c>
      <c r="I63" s="73">
        <f t="shared" ref="I63:I113" si="5">H63-$B$26</f>
        <v>19.082609471965487</v>
      </c>
      <c r="J63" s="73">
        <f>1/$H63/SQRT(2*PI())/$R$27*EXP(-POWER(LN($H63)-$R$26,2)/2/POWER($R$27,2))</f>
        <v>2.0895367682651188E-7</v>
      </c>
      <c r="K63" s="73">
        <f>LOGNORMDIST($H63,$R$26,$R$27)</f>
        <v>2.8665157187919174E-7</v>
      </c>
      <c r="M63" s="56"/>
      <c r="N63" s="57"/>
      <c r="O63" s="58" t="b">
        <f t="shared" si="0"/>
        <v>0</v>
      </c>
      <c r="T63" s="85">
        <f>$U$22+$B$38/100</f>
        <v>100.926</v>
      </c>
      <c r="U63" s="28">
        <f>$X$23</f>
        <v>4.8643113159242191E-2</v>
      </c>
    </row>
    <row r="64" spans="5:21" ht="15" x14ac:dyDescent="0.2">
      <c r="E64" s="72">
        <v>-4.8</v>
      </c>
      <c r="F64" s="73">
        <f t="shared" ref="F64:F113" si="6">$B$16+$E64*$B$17</f>
        <v>-109.63034869388559</v>
      </c>
      <c r="G64" s="73">
        <f t="shared" ref="G64:G113" si="7">NORMDIST($F64,$B$16,$B$17,FALSE)</f>
        <v>8.3212805657049545E-8</v>
      </c>
      <c r="H64" s="73">
        <f t="shared" ref="H64:H113" si="8">EXP($R$26+$E64*$R$27)</f>
        <v>22.554746550747559</v>
      </c>
      <c r="I64" s="73">
        <f t="shared" si="5"/>
        <v>20.554746550747559</v>
      </c>
      <c r="J64" s="73">
        <f t="shared" ref="J64:J113" si="9">1/$H64/SQRT(2*PI())/$R$27*EXP(-POWER(LN($H64)-$R$26,2)/2/POWER($R$27,2))</f>
        <v>5.2040926837133435E-7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113.27399999999999</v>
      </c>
      <c r="U64" s="28">
        <f>$X$23</f>
        <v>4.8643113159242191E-2</v>
      </c>
    </row>
    <row r="65" spans="5:21" ht="15" x14ac:dyDescent="0.2">
      <c r="E65" s="72">
        <v>-4.5999999999999996</v>
      </c>
      <c r="F65" s="73">
        <f t="shared" si="6"/>
        <v>-100.10946050905969</v>
      </c>
      <c r="G65" s="73">
        <f t="shared" si="7"/>
        <v>2.13023236249092E-7</v>
      </c>
      <c r="H65" s="73">
        <f t="shared" si="8"/>
        <v>24.129678664537355</v>
      </c>
      <c r="I65" s="73">
        <f t="shared" si="5"/>
        <v>22.129678664537355</v>
      </c>
      <c r="J65" s="73">
        <f t="shared" si="9"/>
        <v>1.245283542216638E-6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113.526</v>
      </c>
      <c r="U65" s="28">
        <f>$X$24</f>
        <v>2.5601638504864311E-3</v>
      </c>
    </row>
    <row r="66" spans="5:21" ht="15" x14ac:dyDescent="0.2">
      <c r="E66" s="72">
        <v>-4.4000000000000004</v>
      </c>
      <c r="F66" s="73">
        <f t="shared" si="6"/>
        <v>-90.588572324233866</v>
      </c>
      <c r="G66" s="73">
        <f t="shared" si="7"/>
        <v>5.2395261462698695E-7</v>
      </c>
      <c r="H66" s="73">
        <f t="shared" si="8"/>
        <v>25.814583690568281</v>
      </c>
      <c r="I66" s="73">
        <f t="shared" si="5"/>
        <v>23.814583690568281</v>
      </c>
      <c r="J66" s="73">
        <f t="shared" si="9"/>
        <v>2.8629891027946495E-6</v>
      </c>
      <c r="K66" s="73">
        <f t="shared" si="10"/>
        <v>5.4125439077038704E-6</v>
      </c>
      <c r="M66" s="56"/>
      <c r="N66" s="57"/>
      <c r="O66" s="58" t="b">
        <f t="shared" si="0"/>
        <v>0</v>
      </c>
      <c r="T66" s="85">
        <f>$U$24-$B$38/100</f>
        <v>125.874</v>
      </c>
      <c r="U66" s="28">
        <f>$X$24</f>
        <v>2.5601638504864311E-3</v>
      </c>
    </row>
    <row r="67" spans="5:21" ht="15" x14ac:dyDescent="0.2">
      <c r="E67" s="72">
        <v>-4.2</v>
      </c>
      <c r="F67" s="73">
        <f t="shared" si="6"/>
        <v>-81.067684139407959</v>
      </c>
      <c r="G67" s="73">
        <f t="shared" si="7"/>
        <v>1.238184224250877E-6</v>
      </c>
      <c r="H67" s="73">
        <f t="shared" si="8"/>
        <v>27.61714071628856</v>
      </c>
      <c r="I67" s="73">
        <f t="shared" si="5"/>
        <v>25.61714071628856</v>
      </c>
      <c r="J67" s="73">
        <f t="shared" si="9"/>
        <v>6.3241092271291783E-6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126.126</v>
      </c>
      <c r="U67" s="28">
        <f>$X$25</f>
        <v>5.1203277009728623E-3</v>
      </c>
    </row>
    <row r="68" spans="5:21" ht="15" x14ac:dyDescent="0.2">
      <c r="E68" s="72">
        <v>-4</v>
      </c>
      <c r="F68" s="73">
        <f t="shared" si="6"/>
        <v>-71.54679595458208</v>
      </c>
      <c r="G68" s="73">
        <f t="shared" si="7"/>
        <v>2.8112970799968051E-6</v>
      </c>
      <c r="H68" s="73">
        <f t="shared" si="8"/>
        <v>29.545565037407474</v>
      </c>
      <c r="I68" s="73">
        <f t="shared" si="5"/>
        <v>27.545565037407474</v>
      </c>
      <c r="J68" s="73">
        <f t="shared" si="9"/>
        <v>1.3421691437868499E-5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138.47399999999999</v>
      </c>
      <c r="U68" s="28">
        <f>$X$25</f>
        <v>5.1203277009728623E-3</v>
      </c>
    </row>
    <row r="69" spans="5:21" ht="15" x14ac:dyDescent="0.2">
      <c r="E69" s="72">
        <v>-3.8</v>
      </c>
      <c r="F69" s="73">
        <f t="shared" si="6"/>
        <v>-62.025907769756202</v>
      </c>
      <c r="G69" s="73">
        <f t="shared" si="7"/>
        <v>6.1327666100891093E-6</v>
      </c>
      <c r="H69" s="73">
        <f t="shared" si="8"/>
        <v>31.608645599753039</v>
      </c>
      <c r="I69" s="73">
        <f t="shared" si="5"/>
        <v>29.608645599753039</v>
      </c>
      <c r="J69" s="73">
        <f t="shared" si="9"/>
        <v>2.7368018765309737E-5</v>
      </c>
      <c r="K69" s="73">
        <f t="shared" si="10"/>
        <v>7.2348043925119787E-5</v>
      </c>
      <c r="M69" s="56"/>
      <c r="N69" s="57"/>
      <c r="O69" s="58" t="b">
        <f t="shared" si="11"/>
        <v>0</v>
      </c>
      <c r="T69" s="85">
        <f>$U$25+$B$38/100</f>
        <v>138.726</v>
      </c>
      <c r="U69" s="28">
        <f>$X$26</f>
        <v>2.5601638504864311E-3</v>
      </c>
    </row>
    <row r="70" spans="5:21" ht="15" x14ac:dyDescent="0.2">
      <c r="E70" s="72">
        <v>-3.6</v>
      </c>
      <c r="F70" s="73">
        <f t="shared" si="6"/>
        <v>-52.505019584930324</v>
      </c>
      <c r="G70" s="73">
        <f t="shared" si="7"/>
        <v>1.2853883340190969E-5</v>
      </c>
      <c r="H70" s="73">
        <f t="shared" si="8"/>
        <v>33.815785055585302</v>
      </c>
      <c r="I70" s="73">
        <f t="shared" si="5"/>
        <v>31.815785055585302</v>
      </c>
      <c r="J70" s="73">
        <f t="shared" si="9"/>
        <v>5.3617639253659357E-5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151.07399999999998</v>
      </c>
      <c r="U70" s="28">
        <f>$X$26</f>
        <v>2.5601638504864311E-3</v>
      </c>
    </row>
    <row r="71" spans="5:21" ht="15" x14ac:dyDescent="0.2">
      <c r="E71" s="72">
        <v>-3.4</v>
      </c>
      <c r="F71" s="73">
        <f t="shared" si="6"/>
        <v>-42.984131400104445</v>
      </c>
      <c r="G71" s="73">
        <f t="shared" si="7"/>
        <v>2.5884542377819243E-5</v>
      </c>
      <c r="H71" s="73">
        <f t="shared" si="8"/>
        <v>36.177042616925064</v>
      </c>
      <c r="I71" s="73">
        <f t="shared" si="5"/>
        <v>34.177042616925064</v>
      </c>
      <c r="J71" s="73">
        <f t="shared" si="9"/>
        <v>1.0092534404414212E-4</v>
      </c>
      <c r="K71" s="73">
        <f t="shared" si="10"/>
        <v>3.3692926567688216E-4</v>
      </c>
      <c r="M71" s="56"/>
      <c r="N71" s="57"/>
      <c r="O71" s="58" t="b">
        <f t="shared" si="11"/>
        <v>0</v>
      </c>
      <c r="T71" s="85">
        <f>$U$26+$B$38/100</f>
        <v>151.32599999999999</v>
      </c>
      <c r="U71" s="28">
        <f>$X$27</f>
        <v>2.5601638504864311E-3</v>
      </c>
    </row>
    <row r="72" spans="5:21" ht="15" x14ac:dyDescent="0.2">
      <c r="E72" s="72">
        <v>-3.2</v>
      </c>
      <c r="F72" s="73">
        <f t="shared" si="6"/>
        <v>-33.463243215278567</v>
      </c>
      <c r="G72" s="73">
        <f t="shared" si="7"/>
        <v>5.0081214172109122E-5</v>
      </c>
      <c r="H72" s="73">
        <f t="shared" si="8"/>
        <v>38.703179901205409</v>
      </c>
      <c r="I72" s="73">
        <f t="shared" si="5"/>
        <v>36.703179901205409</v>
      </c>
      <c r="J72" s="73">
        <f t="shared" si="9"/>
        <v>1.8252443359852944E-4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163.67399999999998</v>
      </c>
      <c r="U72" s="28">
        <f>$X$27</f>
        <v>2.5601638504864311E-3</v>
      </c>
    </row>
    <row r="73" spans="5:21" ht="15" x14ac:dyDescent="0.2">
      <c r="E73" s="72">
        <v>-3</v>
      </c>
      <c r="F73" s="73">
        <f t="shared" si="6"/>
        <v>-23.942355030452688</v>
      </c>
      <c r="G73" s="73">
        <f t="shared" si="7"/>
        <v>9.309737339424618E-5</v>
      </c>
      <c r="H73" s="73">
        <f t="shared" si="8"/>
        <v>41.405709978191453</v>
      </c>
      <c r="I73" s="73">
        <f t="shared" si="5"/>
        <v>39.405709978191453</v>
      </c>
      <c r="J73" s="73">
        <f t="shared" si="9"/>
        <v>3.1715385969564337E-4</v>
      </c>
      <c r="K73" s="73">
        <f t="shared" si="10"/>
        <v>1.3498980316300954E-3</v>
      </c>
      <c r="M73" s="56"/>
      <c r="N73" s="57"/>
      <c r="O73" s="58" t="b">
        <f t="shared" si="11"/>
        <v>0</v>
      </c>
      <c r="T73" s="85">
        <f>$U$27+$B$38/100</f>
        <v>163.92599999999999</v>
      </c>
      <c r="U73" s="28">
        <f>$X$28</f>
        <v>2.5601638504864311E-3</v>
      </c>
    </row>
    <row r="74" spans="5:21" ht="15" x14ac:dyDescent="0.2">
      <c r="E74" s="72">
        <v>-2.8</v>
      </c>
      <c r="F74" s="73">
        <f t="shared" si="6"/>
        <v>-14.42146684562681</v>
      </c>
      <c r="G74" s="73">
        <f t="shared" si="7"/>
        <v>1.6627548668401317E-4</v>
      </c>
      <c r="H74" s="73">
        <f t="shared" si="8"/>
        <v>44.296949841702968</v>
      </c>
      <c r="I74" s="73">
        <f t="shared" si="5"/>
        <v>42.296949841702968</v>
      </c>
      <c r="J74" s="73">
        <f t="shared" si="9"/>
        <v>5.2947713882922328E-4</v>
      </c>
      <c r="K74" s="73">
        <f t="shared" si="10"/>
        <v>2.5551303304279364E-3</v>
      </c>
      <c r="M74" s="56"/>
      <c r="N74" s="57"/>
      <c r="O74" s="58" t="b">
        <f t="shared" si="11"/>
        <v>0</v>
      </c>
      <c r="T74" s="85">
        <f>$U$28-$B$38/100</f>
        <v>176.274</v>
      </c>
      <c r="U74" s="28">
        <f>$X$28</f>
        <v>2.5601638504864311E-3</v>
      </c>
    </row>
    <row r="75" spans="5:21" ht="15" x14ac:dyDescent="0.2">
      <c r="E75" s="72">
        <v>-2.6</v>
      </c>
      <c r="F75" s="73">
        <f t="shared" si="6"/>
        <v>-4.9005786608009316</v>
      </c>
      <c r="G75" s="73">
        <f t="shared" si="7"/>
        <v>2.853298761628934E-4</v>
      </c>
      <c r="H75" s="73">
        <f t="shared" si="8"/>
        <v>47.390076545284636</v>
      </c>
      <c r="I75" s="73">
        <f t="shared" si="5"/>
        <v>45.390076545284636</v>
      </c>
      <c r="J75" s="73">
        <f t="shared" si="9"/>
        <v>8.4928342136576134E-4</v>
      </c>
      <c r="K75" s="73">
        <f t="shared" si="10"/>
        <v>4.6611880237187493E-3</v>
      </c>
      <c r="M75" s="56"/>
      <c r="N75" s="57"/>
      <c r="O75" s="58" t="b">
        <f t="shared" si="11"/>
        <v>0</v>
      </c>
      <c r="T75" s="85">
        <f>$U$28+$B$38/100</f>
        <v>176.52600000000001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4.6203095240249468</v>
      </c>
      <c r="G76" s="73">
        <f t="shared" si="7"/>
        <v>4.70429435995996E-4</v>
      </c>
      <c r="H76" s="73">
        <f t="shared" si="8"/>
        <v>50.69918725766599</v>
      </c>
      <c r="I76" s="73">
        <f t="shared" si="5"/>
        <v>48.69918725766599</v>
      </c>
      <c r="J76" s="73">
        <f t="shared" si="9"/>
        <v>1.3088392194946334E-3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188.874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14.141197708850811</v>
      </c>
      <c r="G77" s="73">
        <f t="shared" si="7"/>
        <v>7.4519503133688354E-4</v>
      </c>
      <c r="H77" s="73">
        <f t="shared" si="8"/>
        <v>54.239363511718999</v>
      </c>
      <c r="I77" s="73">
        <f t="shared" si="5"/>
        <v>52.239363511718999</v>
      </c>
      <c r="J77" s="73">
        <f t="shared" si="9"/>
        <v>1.9379750195243465E-3</v>
      </c>
      <c r="K77" s="73">
        <f t="shared" si="10"/>
        <v>1.3903447513498621E-2</v>
      </c>
      <c r="L77" s="16"/>
      <c r="M77" s="56"/>
      <c r="N77" s="57"/>
      <c r="O77" s="58" t="b">
        <f t="shared" si="11"/>
        <v>0</v>
      </c>
      <c r="T77" s="85">
        <f>$U$29+$B$38/100</f>
        <v>189.126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23.662085893676704</v>
      </c>
      <c r="G78" s="73">
        <f t="shared" si="7"/>
        <v>1.1341581891327604E-3</v>
      </c>
      <c r="H78" s="73">
        <f t="shared" si="8"/>
        <v>58.026739939732721</v>
      </c>
      <c r="I78" s="73">
        <f t="shared" si="5"/>
        <v>56.026739939732721</v>
      </c>
      <c r="J78" s="73">
        <f t="shared" si="9"/>
        <v>2.7570095466033498E-3</v>
      </c>
      <c r="K78" s="73">
        <f t="shared" si="10"/>
        <v>2.2750131948179264E-2</v>
      </c>
      <c r="L78" s="16"/>
      <c r="M78" s="56"/>
      <c r="N78" s="57"/>
      <c r="O78" s="58" t="b">
        <f t="shared" si="11"/>
        <v>0</v>
      </c>
      <c r="T78" s="85">
        <f>$U$30-$B$38/100</f>
        <v>201.47399999999999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33.182974078502582</v>
      </c>
      <c r="G79" s="73">
        <f t="shared" si="7"/>
        <v>1.6584620419494618E-3</v>
      </c>
      <c r="H79" s="73">
        <f t="shared" si="8"/>
        <v>62.078577808271497</v>
      </c>
      <c r="I79" s="73">
        <f t="shared" si="5"/>
        <v>60.078577808271497</v>
      </c>
      <c r="J79" s="73">
        <f t="shared" si="9"/>
        <v>3.7683964489322462E-3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201.726</v>
      </c>
      <c r="U79" s="28">
        <f>$X$31</f>
        <v>7.6804915514592943E-3</v>
      </c>
    </row>
    <row r="80" spans="5:21" ht="15" x14ac:dyDescent="0.2">
      <c r="E80" s="72">
        <v>-1.6</v>
      </c>
      <c r="F80" s="73">
        <f t="shared" si="6"/>
        <v>42.70386226332846</v>
      </c>
      <c r="G80" s="73">
        <f t="shared" si="7"/>
        <v>2.330052249878074E-3</v>
      </c>
      <c r="H80" s="73">
        <f t="shared" si="8"/>
        <v>66.413343687757973</v>
      </c>
      <c r="I80" s="73">
        <f t="shared" si="5"/>
        <v>64.413343687757973</v>
      </c>
      <c r="J80" s="73">
        <f t="shared" si="9"/>
        <v>4.948836690866187E-3</v>
      </c>
      <c r="K80" s="73">
        <f t="shared" si="10"/>
        <v>5.4799291699558106E-2</v>
      </c>
      <c r="L80" s="16"/>
      <c r="M80" s="56"/>
      <c r="N80" s="57"/>
      <c r="O80" s="58" t="b">
        <f t="shared" si="11"/>
        <v>0</v>
      </c>
      <c r="T80" s="85">
        <f>$U$31-$B$38/100</f>
        <v>214.07399999999998</v>
      </c>
      <c r="U80" s="28">
        <f>$X$31</f>
        <v>7.6804915514592943E-3</v>
      </c>
    </row>
    <row r="81" spans="5:21" ht="15" x14ac:dyDescent="0.2">
      <c r="E81" s="72">
        <v>-1.4</v>
      </c>
      <c r="F81" s="73">
        <f t="shared" si="6"/>
        <v>52.224750448154339</v>
      </c>
      <c r="G81" s="73">
        <f t="shared" si="7"/>
        <v>3.1452415516102011E-3</v>
      </c>
      <c r="H81" s="73">
        <f t="shared" si="8"/>
        <v>71.050793615322831</v>
      </c>
      <c r="I81" s="73">
        <f t="shared" si="5"/>
        <v>69.050793615322831</v>
      </c>
      <c r="J81" s="73">
        <f t="shared" si="9"/>
        <v>6.2442154561345624E-3</v>
      </c>
      <c r="K81" s="73">
        <f t="shared" si="10"/>
        <v>8.0756659233770997E-2</v>
      </c>
      <c r="L81" s="14"/>
      <c r="M81" s="56"/>
      <c r="N81" s="57"/>
      <c r="O81" s="58" t="b">
        <f t="shared" si="11"/>
        <v>0</v>
      </c>
      <c r="T81" s="85">
        <f>$U$31+$B$38/100</f>
        <v>214.32599999999999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61.745638632980217</v>
      </c>
      <c r="G82" s="73">
        <f t="shared" si="7"/>
        <v>4.079158398114604E-3</v>
      </c>
      <c r="H82" s="73">
        <f t="shared" si="8"/>
        <v>76.012063134501489</v>
      </c>
      <c r="I82" s="73">
        <f t="shared" si="5"/>
        <v>74.012063134501489</v>
      </c>
      <c r="J82" s="73">
        <f t="shared" si="9"/>
        <v>7.5697381723568834E-3</v>
      </c>
      <c r="K82" s="73">
        <f t="shared" si="10"/>
        <v>0.1150696702217084</v>
      </c>
      <c r="L82" s="14"/>
      <c r="M82" s="56"/>
      <c r="N82" s="57"/>
      <c r="O82" s="58" t="b">
        <f t="shared" si="11"/>
        <v>0</v>
      </c>
      <c r="T82" s="85">
        <f>$U$32-$B$38/100</f>
        <v>226.67399999999998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71.266526817806096</v>
      </c>
      <c r="G83" s="73">
        <f t="shared" si="7"/>
        <v>5.0829443602707029E-3</v>
      </c>
      <c r="H83" s="73">
        <f t="shared" si="8"/>
        <v>81.319763622138979</v>
      </c>
      <c r="I83" s="73">
        <f t="shared" si="5"/>
        <v>79.319763622138979</v>
      </c>
      <c r="J83" s="73">
        <f t="shared" si="9"/>
        <v>8.8168216723479038E-3</v>
      </c>
      <c r="K83" s="73">
        <f t="shared" si="10"/>
        <v>0.15865525393145688</v>
      </c>
      <c r="L83" s="14"/>
      <c r="M83" s="56"/>
      <c r="N83" s="57"/>
      <c r="O83" s="58" t="b">
        <f t="shared" si="11"/>
        <v>0</v>
      </c>
      <c r="T83" s="85">
        <f>$U$32+$B$38/100</f>
        <v>226.92599999999999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80.787415002631974</v>
      </c>
      <c r="G84" s="73">
        <f t="shared" si="7"/>
        <v>6.0853892438981665E-3</v>
      </c>
      <c r="H84" s="73">
        <f t="shared" si="8"/>
        <v>86.998085341522597</v>
      </c>
      <c r="I84" s="73">
        <f t="shared" si="5"/>
        <v>84.998085341522597</v>
      </c>
      <c r="J84" s="73">
        <f t="shared" si="9"/>
        <v>9.8666898430489897E-3</v>
      </c>
      <c r="K84" s="73">
        <f t="shared" si="10"/>
        <v>0.2118553985833968</v>
      </c>
      <c r="M84" s="56"/>
      <c r="N84" s="57"/>
      <c r="O84" s="58" t="b">
        <f t="shared" si="11"/>
        <v>0</v>
      </c>
      <c r="T84" s="85">
        <f>$U$33-$B$38/100</f>
        <v>239.274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90.308303187457852</v>
      </c>
      <c r="G85" s="73">
        <f t="shared" si="7"/>
        <v>6.999863803103655E-3</v>
      </c>
      <c r="H85" s="73">
        <f t="shared" si="8"/>
        <v>93.072907691412695</v>
      </c>
      <c r="I85" s="73">
        <f t="shared" si="5"/>
        <v>91.072907691412695</v>
      </c>
      <c r="J85" s="73">
        <f t="shared" si="9"/>
        <v>1.0608625458945285E-2</v>
      </c>
      <c r="K85" s="73">
        <f t="shared" si="10"/>
        <v>0.27425311775007327</v>
      </c>
      <c r="M85" s="56"/>
      <c r="N85" s="57"/>
      <c r="O85" s="58" t="b">
        <f t="shared" si="11"/>
        <v>0</v>
      </c>
      <c r="T85" s="85">
        <f>$U$33+$B$38/100</f>
        <v>239.52600000000001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99.829191372283731</v>
      </c>
      <c r="G86" s="73">
        <f t="shared" si="7"/>
        <v>7.7360459056805605E-3</v>
      </c>
      <c r="H86" s="73">
        <f t="shared" si="8"/>
        <v>99.57191715344284</v>
      </c>
      <c r="I86" s="73">
        <f t="shared" si="5"/>
        <v>97.57191715344284</v>
      </c>
      <c r="J86" s="73">
        <f t="shared" si="9"/>
        <v>1.0959102219854388E-2</v>
      </c>
      <c r="K86" s="73">
        <f t="shared" si="10"/>
        <v>0.34457825838967593</v>
      </c>
      <c r="M86" s="56"/>
      <c r="N86" s="57"/>
      <c r="O86" s="58" t="b">
        <f t="shared" si="11"/>
        <v>0</v>
      </c>
      <c r="T86" s="85">
        <f>$U$34-$B$38/100</f>
        <v>251.874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109.35007955710961</v>
      </c>
      <c r="G87" s="73">
        <f t="shared" si="7"/>
        <v>8.2144162684042159E-3</v>
      </c>
      <c r="H87" s="73">
        <f t="shared" si="8"/>
        <v>106.52473347544115</v>
      </c>
      <c r="I87" s="73">
        <f t="shared" si="5"/>
        <v>104.52473347544115</v>
      </c>
      <c r="J87" s="73">
        <f t="shared" si="9"/>
        <v>1.087724872673137E-2</v>
      </c>
      <c r="K87" s="73">
        <f t="shared" si="10"/>
        <v>0.42074029056089651</v>
      </c>
      <c r="M87" s="56"/>
      <c r="N87" s="57"/>
      <c r="O87" s="58" t="b">
        <f t="shared" si="11"/>
        <v>0</v>
      </c>
      <c r="T87" s="85">
        <f>$U$34+$B$38/100</f>
        <v>252.126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118.87096774193549</v>
      </c>
      <c r="G88" s="73">
        <f t="shared" si="7"/>
        <v>8.3803584845635638E-3</v>
      </c>
      <c r="H88" s="73">
        <f t="shared" si="8"/>
        <v>113.96304466576626</v>
      </c>
      <c r="I88" s="73">
        <f t="shared" si="5"/>
        <v>111.96304466576626</v>
      </c>
      <c r="J88" s="73">
        <f t="shared" si="9"/>
        <v>1.0372689123454444E-2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264.47399999999999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128.39185592676137</v>
      </c>
      <c r="G89" s="73">
        <f t="shared" si="7"/>
        <v>8.2144162684042159E-3</v>
      </c>
      <c r="H89" s="73">
        <f t="shared" si="8"/>
        <v>121.92075141390208</v>
      </c>
      <c r="I89" s="73">
        <f t="shared" si="5"/>
        <v>119.92075141390208</v>
      </c>
      <c r="J89" s="73">
        <f t="shared" si="9"/>
        <v>9.5036817615038079E-3</v>
      </c>
      <c r="K89" s="73">
        <f t="shared" si="10"/>
        <v>0.57925970943910343</v>
      </c>
      <c r="M89" s="56"/>
      <c r="N89" s="57"/>
      <c r="O89" s="58" t="b">
        <f t="shared" si="11"/>
        <v>0</v>
      </c>
      <c r="T89" s="85">
        <f>$U$35+$B$38/100</f>
        <v>264.72599999999994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137.91274411158724</v>
      </c>
      <c r="G90" s="73">
        <f t="shared" si="7"/>
        <v>7.7360459056805605E-3</v>
      </c>
      <c r="H90" s="73">
        <f t="shared" si="8"/>
        <v>130.4341215955223</v>
      </c>
      <c r="I90" s="73">
        <f t="shared" si="5"/>
        <v>128.4341215955223</v>
      </c>
      <c r="J90" s="73">
        <f t="shared" si="9"/>
        <v>8.3660533376023697E-3</v>
      </c>
      <c r="K90" s="73">
        <f t="shared" si="10"/>
        <v>0.65542174161032407</v>
      </c>
      <c r="M90" s="56"/>
      <c r="N90" s="57"/>
      <c r="O90" s="58" t="b">
        <f t="shared" si="11"/>
        <v>0</v>
      </c>
      <c r="T90" s="85">
        <f>$U$36-$B$38/100</f>
        <v>277.07400000000001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147.43363229641312</v>
      </c>
      <c r="G91" s="73">
        <f t="shared" si="7"/>
        <v>6.999863803103655E-3</v>
      </c>
      <c r="H91" s="73">
        <f t="shared" si="8"/>
        <v>139.54195556619237</v>
      </c>
      <c r="I91" s="73">
        <f t="shared" si="5"/>
        <v>137.54195556619237</v>
      </c>
      <c r="J91" s="73">
        <f t="shared" si="9"/>
        <v>7.0758333152699656E-3</v>
      </c>
      <c r="K91" s="73">
        <f t="shared" si="10"/>
        <v>0.72574688224992667</v>
      </c>
      <c r="M91" s="56"/>
      <c r="N91" s="57"/>
      <c r="O91" s="58" t="b">
        <f t="shared" si="11"/>
        <v>0</v>
      </c>
      <c r="T91" s="85">
        <f>$U$36+$B$38/100</f>
        <v>277.32599999999996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156.95452048123948</v>
      </c>
      <c r="G92" s="73">
        <f t="shared" si="7"/>
        <v>6.0853892438981188E-3</v>
      </c>
      <c r="H92" s="73">
        <f t="shared" si="8"/>
        <v>149.28576299704781</v>
      </c>
      <c r="I92" s="73">
        <f t="shared" si="5"/>
        <v>147.28576299704781</v>
      </c>
      <c r="J92" s="73">
        <f t="shared" si="9"/>
        <v>5.7499329324583884E-3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289.67400000000004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166.47540866606536</v>
      </c>
      <c r="G93" s="73">
        <f t="shared" si="7"/>
        <v>5.0829443602706508E-3</v>
      </c>
      <c r="H93" s="73">
        <f t="shared" si="8"/>
        <v>159.70995205839071</v>
      </c>
      <c r="I93" s="73">
        <f t="shared" si="5"/>
        <v>157.70995205839071</v>
      </c>
      <c r="J93" s="73">
        <f t="shared" si="9"/>
        <v>4.4892747449560575E-3</v>
      </c>
      <c r="K93" s="73">
        <f t="shared" si="10"/>
        <v>0.8413447460685457</v>
      </c>
      <c r="M93" s="56"/>
      <c r="N93" s="57"/>
      <c r="O93" s="58" t="b">
        <f t="shared" si="11"/>
        <v>0</v>
      </c>
      <c r="T93" s="85">
        <f>$U$37+$B$38/100</f>
        <v>289.92599999999999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175.99629685089124</v>
      </c>
      <c r="G94" s="73">
        <f t="shared" si="7"/>
        <v>4.0791583981145546E-3</v>
      </c>
      <c r="H94" s="73">
        <f t="shared" si="8"/>
        <v>170.86203181342788</v>
      </c>
      <c r="I94" s="73">
        <f t="shared" si="5"/>
        <v>168.86203181342788</v>
      </c>
      <c r="J94" s="73">
        <f t="shared" si="9"/>
        <v>3.3675791500426878E-3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302.274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185.51718503571709</v>
      </c>
      <c r="G95" s="73">
        <f t="shared" si="7"/>
        <v>3.145241551610159E-3</v>
      </c>
      <c r="H95" s="73">
        <f t="shared" si="8"/>
        <v>182.79282874456982</v>
      </c>
      <c r="I95" s="73">
        <f t="shared" si="5"/>
        <v>180.79282874456982</v>
      </c>
      <c r="J95" s="73">
        <f t="shared" si="9"/>
        <v>2.4270999399181774E-3</v>
      </c>
      <c r="K95" s="73">
        <f t="shared" si="10"/>
        <v>0.9192433407662306</v>
      </c>
      <c r="M95" s="56"/>
      <c r="N95" s="57"/>
      <c r="O95" s="58" t="b">
        <f t="shared" si="11"/>
        <v>0</v>
      </c>
      <c r="T95" s="85">
        <f>$U$38+$B$38/100</f>
        <v>302.52599999999995</v>
      </c>
      <c r="U95" s="28">
        <f>$X$39</f>
        <v>2.5601638504864311E-3</v>
      </c>
    </row>
    <row r="96" spans="5:21" ht="15" x14ac:dyDescent="0.2">
      <c r="E96" s="72">
        <v>1.6000000000000101</v>
      </c>
      <c r="F96" s="73">
        <f t="shared" si="6"/>
        <v>195.038073220543</v>
      </c>
      <c r="G96" s="73">
        <f t="shared" si="7"/>
        <v>2.3300522498780367E-3</v>
      </c>
      <c r="H96" s="73">
        <f t="shared" si="8"/>
        <v>195.55671839912935</v>
      </c>
      <c r="I96" s="73">
        <f t="shared" si="5"/>
        <v>193.55671839912935</v>
      </c>
      <c r="J96" s="73">
        <f t="shared" si="9"/>
        <v>1.6806826924466369E-3</v>
      </c>
      <c r="K96" s="73">
        <f t="shared" si="10"/>
        <v>0.945200708300443</v>
      </c>
      <c r="M96" s="56"/>
      <c r="N96" s="57"/>
      <c r="O96" s="58" t="b">
        <f t="shared" si="11"/>
        <v>0</v>
      </c>
      <c r="T96" s="85">
        <f>$U$39-$B$38/100</f>
        <v>314.87400000000002</v>
      </c>
      <c r="U96" s="28">
        <f>$X$39</f>
        <v>2.5601638504864311E-3</v>
      </c>
    </row>
    <row r="97" spans="5:21" ht="15" x14ac:dyDescent="0.2">
      <c r="E97" s="72">
        <v>1.80000000000001</v>
      </c>
      <c r="F97" s="73">
        <f t="shared" si="6"/>
        <v>204.55896140536888</v>
      </c>
      <c r="G97" s="73">
        <f t="shared" si="7"/>
        <v>1.6584620419494312E-3</v>
      </c>
      <c r="H97" s="73">
        <f t="shared" si="8"/>
        <v>209.21187321016535</v>
      </c>
      <c r="I97" s="73">
        <f t="shared" si="5"/>
        <v>207.21187321016535</v>
      </c>
      <c r="J97" s="73">
        <f t="shared" si="9"/>
        <v>1.1181807637296341E-3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315.12599999999998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214.07984959019475</v>
      </c>
      <c r="G98" s="73">
        <f t="shared" si="7"/>
        <v>1.1341581891327369E-3</v>
      </c>
      <c r="H98" s="73">
        <f t="shared" si="8"/>
        <v>223.82052762192973</v>
      </c>
      <c r="I98" s="73">
        <f t="shared" si="5"/>
        <v>221.82052762192973</v>
      </c>
      <c r="J98" s="73">
        <f t="shared" si="9"/>
        <v>7.1477034600840106E-4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223.6007377750206</v>
      </c>
      <c r="G99" s="73">
        <f t="shared" si="7"/>
        <v>7.4519503133686825E-4</v>
      </c>
      <c r="H99" s="73">
        <f t="shared" si="8"/>
        <v>239.44926172825342</v>
      </c>
      <c r="I99" s="73">
        <f t="shared" si="5"/>
        <v>237.44926172825342</v>
      </c>
      <c r="J99" s="73">
        <f t="shared" si="9"/>
        <v>4.3898457152021555E-4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233.12162595984651</v>
      </c>
      <c r="G100" s="73">
        <f t="shared" si="7"/>
        <v>4.7042943599598451E-4</v>
      </c>
      <c r="H100" s="73">
        <f t="shared" si="8"/>
        <v>256.16930471657008</v>
      </c>
      <c r="I100" s="73">
        <f t="shared" si="5"/>
        <v>254.16930471657008</v>
      </c>
      <c r="J100" s="73">
        <f t="shared" si="9"/>
        <v>2.590360494312638E-4</v>
      </c>
      <c r="K100" s="73">
        <f t="shared" si="10"/>
        <v>0.99180246407540418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242.64251414467236</v>
      </c>
      <c r="G101" s="73">
        <f t="shared" si="7"/>
        <v>2.8532987616288651E-4</v>
      </c>
      <c r="H101" s="73">
        <f t="shared" si="8"/>
        <v>274.05685950055215</v>
      </c>
      <c r="I101" s="73">
        <f t="shared" si="5"/>
        <v>272.05685950055215</v>
      </c>
      <c r="J101" s="73">
        <f t="shared" si="9"/>
        <v>1.4685859868828589E-4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252.16340232949827</v>
      </c>
      <c r="G102" s="73">
        <f t="shared" si="7"/>
        <v>1.6627548668400843E-4</v>
      </c>
      <c r="H102" s="73">
        <f t="shared" si="8"/>
        <v>293.19345002089597</v>
      </c>
      <c r="I102" s="73">
        <f t="shared" si="5"/>
        <v>291.19345002089597</v>
      </c>
      <c r="J102" s="73">
        <f t="shared" si="9"/>
        <v>7.9995723845039201E-5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261.68429051432418</v>
      </c>
      <c r="G103" s="73">
        <f t="shared" si="7"/>
        <v>9.3097373394243185E-5</v>
      </c>
      <c r="H103" s="73">
        <f t="shared" si="8"/>
        <v>313.66629279710668</v>
      </c>
      <c r="I103" s="73">
        <f t="shared" si="5"/>
        <v>311.66629279710668</v>
      </c>
      <c r="J103" s="73">
        <f t="shared" si="9"/>
        <v>4.1866088370278836E-5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271.20517869915</v>
      </c>
      <c r="G104" s="73">
        <f t="shared" si="7"/>
        <v>5.0081214172107651E-5</v>
      </c>
      <c r="H104" s="73">
        <f t="shared" si="8"/>
        <v>335.56869442365854</v>
      </c>
      <c r="I104" s="73">
        <f t="shared" si="5"/>
        <v>333.56869442365854</v>
      </c>
      <c r="J104" s="73">
        <f t="shared" si="9"/>
        <v>2.1051653826237301E-5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280.72606688397593</v>
      </c>
      <c r="G105" s="73">
        <f t="shared" si="7"/>
        <v>2.5884542377818298E-5</v>
      </c>
      <c r="H105" s="73">
        <f t="shared" si="8"/>
        <v>359.00047682215393</v>
      </c>
      <c r="I105" s="73">
        <f t="shared" si="5"/>
        <v>357.00047682215393</v>
      </c>
      <c r="J105" s="73">
        <f t="shared" si="9"/>
        <v>1.0170405635481611E-5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290.24695506880175</v>
      </c>
      <c r="G106" s="73">
        <f t="shared" si="7"/>
        <v>1.2853883340190533E-5</v>
      </c>
      <c r="H106" s="73">
        <f t="shared" si="8"/>
        <v>384.06843218759883</v>
      </c>
      <c r="I106" s="73">
        <f t="shared" si="5"/>
        <v>382.06843218759883</v>
      </c>
      <c r="J106" s="73">
        <f t="shared" si="9"/>
        <v>4.7208320503257813E-6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299.76784325362769</v>
      </c>
      <c r="G107" s="73">
        <f t="shared" si="7"/>
        <v>6.1327666100888535E-6</v>
      </c>
      <c r="H107" s="73">
        <f t="shared" si="8"/>
        <v>410.88680970224641</v>
      </c>
      <c r="I107" s="73">
        <f t="shared" si="5"/>
        <v>408.88680970224641</v>
      </c>
      <c r="J107" s="73">
        <f t="shared" si="9"/>
        <v>2.1053632910409453E-6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309.28873143845351</v>
      </c>
      <c r="G108" s="73">
        <f t="shared" si="7"/>
        <v>2.811297079996695E-6</v>
      </c>
      <c r="H108" s="73">
        <f t="shared" si="8"/>
        <v>439.57783623525171</v>
      </c>
      <c r="I108" s="73">
        <f t="shared" si="5"/>
        <v>437.57783623525171</v>
      </c>
      <c r="J108" s="73">
        <f t="shared" si="9"/>
        <v>9.0211886178291502E-7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318.80961962327945</v>
      </c>
      <c r="G109" s="73">
        <f t="shared" si="7"/>
        <v>1.2381842242508219E-6</v>
      </c>
      <c r="H109" s="73">
        <f t="shared" si="8"/>
        <v>470.27227340125825</v>
      </c>
      <c r="I109" s="73">
        <f t="shared" si="5"/>
        <v>468.27227340125825</v>
      </c>
      <c r="J109" s="73">
        <f t="shared" si="9"/>
        <v>3.7138871311210776E-7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328.33050780810527</v>
      </c>
      <c r="G110" s="73">
        <f t="shared" si="7"/>
        <v>5.2395261462696652E-7</v>
      </c>
      <c r="H110" s="73">
        <f t="shared" si="8"/>
        <v>503.11001351676543</v>
      </c>
      <c r="I110" s="73">
        <f t="shared" si="5"/>
        <v>501.11001351676543</v>
      </c>
      <c r="J110" s="73">
        <f t="shared" si="9"/>
        <v>1.4690002149363121E-7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337.8513959929312</v>
      </c>
      <c r="G111" s="73">
        <f t="shared" si="7"/>
        <v>2.1302323624908142E-7</v>
      </c>
      <c r="H111" s="73">
        <f t="shared" si="8"/>
        <v>538.2407171703835</v>
      </c>
      <c r="I111" s="73">
        <f t="shared" si="5"/>
        <v>536.2407171703835</v>
      </c>
      <c r="J111" s="73">
        <f t="shared" si="9"/>
        <v>5.5826864749087123E-8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347.37228417775702</v>
      </c>
      <c r="G112" s="73">
        <f t="shared" si="7"/>
        <v>8.3212805657045707E-8</v>
      </c>
      <c r="H112" s="73">
        <f t="shared" si="8"/>
        <v>575.82449531276234</v>
      </c>
      <c r="I112" s="73">
        <f t="shared" si="5"/>
        <v>573.82449531276234</v>
      </c>
      <c r="J112" s="73">
        <f t="shared" si="9"/>
        <v>2.0384160879434995E-8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356.89317236258245</v>
      </c>
      <c r="G113" s="73">
        <f t="shared" si="7"/>
        <v>3.1230689529655208E-8</v>
      </c>
      <c r="H113" s="73">
        <f t="shared" si="8"/>
        <v>616.03263897486738</v>
      </c>
      <c r="I113" s="73">
        <f t="shared" si="5"/>
        <v>614.03263897486738</v>
      </c>
      <c r="J113" s="73">
        <f t="shared" si="9"/>
        <v>7.1510639007625037E-9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5.3016033915730702E-3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113.95222191277026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1.253333010337146E-4</v>
      </c>
      <c r="H120" s="69" t="s">
        <v>50</v>
      </c>
      <c r="I120" s="79">
        <f>IF($B$9&gt;3,INDEX(XX!$C$4:$C$150,$B$9))</f>
        <v>0.33879999999999999</v>
      </c>
      <c r="J120" s="79">
        <f>IF($B$9&gt;3,INDEX(XX!$D$4:$D$150,$B$9))</f>
        <v>0.43569999999999998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40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42299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135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36333</v>
      </c>
      <c r="N3" s="57">
        <v>0.1</v>
      </c>
      <c r="O3" s="58">
        <f t="shared" ref="O3:O66" si="0">IF($N3&gt;0,LN($N3+$B$26))</f>
        <v>-1.8971199848858811</v>
      </c>
      <c r="T3" s="69" t="s">
        <v>109</v>
      </c>
      <c r="U3" s="82">
        <f>$B$21</f>
        <v>0.40100401929391183</v>
      </c>
      <c r="V3" s="82">
        <f t="shared" ref="V3:V10" si="1">U3</f>
        <v>0.40100401929391183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36550</v>
      </c>
      <c r="N4" s="57">
        <v>0.22</v>
      </c>
      <c r="O4" s="58">
        <f t="shared" si="0"/>
        <v>-1.3093333199837622</v>
      </c>
      <c r="T4" s="69" t="s">
        <v>111</v>
      </c>
      <c r="U4" s="82">
        <f>$B$31</f>
        <v>0.41614846587608495</v>
      </c>
      <c r="V4" s="82">
        <f t="shared" si="1"/>
        <v>0.41614846587608495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36839</v>
      </c>
      <c r="N5" s="57">
        <v>0.03</v>
      </c>
      <c r="O5" s="58">
        <f t="shared" si="0"/>
        <v>-2.5257286443082556</v>
      </c>
      <c r="T5" s="69" t="s">
        <v>110</v>
      </c>
      <c r="U5" s="82">
        <f>$B$22</f>
        <v>0.45026187721860733</v>
      </c>
      <c r="V5" s="82">
        <f t="shared" si="1"/>
        <v>0.45026187721860733</v>
      </c>
    </row>
    <row r="6" spans="1:24" ht="15" customHeight="1" x14ac:dyDescent="0.25">
      <c r="A6" s="107" t="s">
        <v>18</v>
      </c>
      <c r="B6" s="116">
        <v>0.2</v>
      </c>
      <c r="C6" s="18"/>
      <c r="M6" s="56">
        <v>37096</v>
      </c>
      <c r="N6" s="57">
        <v>7.0000000000000007E-2</v>
      </c>
      <c r="O6" s="58">
        <f t="shared" si="0"/>
        <v>-2.120263536200091</v>
      </c>
      <c r="T6" s="69" t="s">
        <v>29</v>
      </c>
      <c r="U6" s="82">
        <f>$B$32</f>
        <v>0.55121732401540813</v>
      </c>
      <c r="V6" s="82">
        <f t="shared" si="1"/>
        <v>0.55121732401540813</v>
      </c>
    </row>
    <row r="7" spans="1:24" ht="15" customHeight="1" x14ac:dyDescent="0.2">
      <c r="D7" s="4"/>
      <c r="F7" s="5"/>
      <c r="M7" s="56">
        <v>37193</v>
      </c>
      <c r="N7" s="57">
        <v>0</v>
      </c>
      <c r="O7" s="58" t="b">
        <f t="shared" si="0"/>
        <v>0</v>
      </c>
      <c r="T7" s="69" t="s">
        <v>31</v>
      </c>
      <c r="U7" s="82">
        <f>$C$21</f>
        <v>-0.12600401929391195</v>
      </c>
      <c r="V7" s="82">
        <f t="shared" si="1"/>
        <v>-0.12600401929391195</v>
      </c>
    </row>
    <row r="8" spans="1:24" ht="15" customHeight="1" x14ac:dyDescent="0.25">
      <c r="A8" s="140" t="s">
        <v>12</v>
      </c>
      <c r="B8" s="140"/>
      <c r="C8" s="140"/>
      <c r="D8" s="4"/>
      <c r="M8" s="56">
        <v>37348</v>
      </c>
      <c r="N8" s="57">
        <v>0.11</v>
      </c>
      <c r="O8" s="58">
        <f t="shared" si="0"/>
        <v>-1.8325814637483102</v>
      </c>
      <c r="T8" s="69" t="s">
        <v>32</v>
      </c>
      <c r="U8" s="82">
        <f>$C$31</f>
        <v>-3.0065005216400111</v>
      </c>
      <c r="V8" s="82">
        <f t="shared" si="1"/>
        <v>-3.0065005216400111</v>
      </c>
    </row>
    <row r="9" spans="1:24" ht="15" customHeight="1" x14ac:dyDescent="0.2">
      <c r="A9" s="101" t="s">
        <v>11</v>
      </c>
      <c r="B9" s="59">
        <f>COUNT($M$3:$M252)</f>
        <v>12</v>
      </c>
      <c r="C9" s="60"/>
      <c r="D9" s="4"/>
      <c r="M9" s="56">
        <v>37551</v>
      </c>
      <c r="N9" s="57">
        <v>0.2</v>
      </c>
      <c r="O9" s="58">
        <f t="shared" si="0"/>
        <v>-1.3862943611198906</v>
      </c>
      <c r="T9" s="69" t="s">
        <v>112</v>
      </c>
      <c r="U9" s="82">
        <f>$C$22</f>
        <v>-0.17526187721860734</v>
      </c>
      <c r="V9" s="82">
        <f t="shared" si="1"/>
        <v>-0.17526187721860734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>
        <v>38848</v>
      </c>
      <c r="N10" s="57">
        <v>0.06</v>
      </c>
      <c r="O10" s="58">
        <f t="shared" si="0"/>
        <v>-2.2072749131897207</v>
      </c>
      <c r="T10" s="69" t="s">
        <v>113</v>
      </c>
      <c r="U10" s="82">
        <f>$C$32</f>
        <v>-3.2344983115582631</v>
      </c>
      <c r="V10" s="82">
        <f t="shared" si="1"/>
        <v>-3.2344983115582631</v>
      </c>
    </row>
    <row r="11" spans="1:24" ht="15" customHeight="1" x14ac:dyDescent="0.2">
      <c r="A11" s="102" t="s">
        <v>8</v>
      </c>
      <c r="B11" s="61">
        <f>MAX($N$3:$N$252)</f>
        <v>0.49</v>
      </c>
      <c r="C11" s="60"/>
      <c r="D11" s="4"/>
      <c r="M11" s="56">
        <v>39933</v>
      </c>
      <c r="N11" s="57">
        <v>0.2</v>
      </c>
      <c r="O11" s="58">
        <f t="shared" si="0"/>
        <v>-1.3862943611198906</v>
      </c>
      <c r="T11" s="69" t="s">
        <v>68</v>
      </c>
      <c r="U11" s="82">
        <f>$B$12</f>
        <v>0.10500000000000001</v>
      </c>
      <c r="V11" s="82">
        <f>U11</f>
        <v>0.10500000000000001</v>
      </c>
    </row>
    <row r="12" spans="1:24" ht="15" customHeight="1" x14ac:dyDescent="0.2">
      <c r="A12" s="102" t="s">
        <v>68</v>
      </c>
      <c r="B12" s="62">
        <f>MEDIAN($N$3:$N$252)</f>
        <v>0.10500000000000001</v>
      </c>
      <c r="C12" s="50"/>
      <c r="D12" s="4"/>
      <c r="M12" s="56">
        <v>40661</v>
      </c>
      <c r="N12" s="57">
        <v>0.16</v>
      </c>
      <c r="O12" s="58">
        <f t="shared" si="0"/>
        <v>-1.5606477482646683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41387</v>
      </c>
      <c r="N13" s="57">
        <v>0.01</v>
      </c>
      <c r="O13" s="58">
        <f t="shared" si="0"/>
        <v>-2.8134107167600364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41753</v>
      </c>
      <c r="N14" s="57">
        <v>0.49</v>
      </c>
      <c r="O14" s="58">
        <f t="shared" si="0"/>
        <v>-0.61618613942381695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2.0579999999999998E-2</v>
      </c>
      <c r="V15" s="84">
        <f>FREQUENCY($N$3:$N$252,$U$15:$U$39)</f>
        <v>2</v>
      </c>
      <c r="W15" s="79">
        <f t="shared" ref="W15:W39" si="4">(U15+U14)/2</f>
        <v>1.0289999999999999E-2</v>
      </c>
      <c r="X15" s="80">
        <f t="shared" si="2"/>
        <v>8.0984774862325892</v>
      </c>
    </row>
    <row r="16" spans="1:24" ht="15" customHeight="1" x14ac:dyDescent="0.2">
      <c r="A16" s="101" t="s">
        <v>73</v>
      </c>
      <c r="B16" s="63">
        <f>AVERAGE($N$3:$N$252)</f>
        <v>0.13749999999999998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4.1159999999999995E-2</v>
      </c>
      <c r="V16" s="84">
        <f t="array" ref="V16:V40">FREQUENCY($N$3:$N$252,$U$15:$U$39)</f>
        <v>2</v>
      </c>
      <c r="W16" s="79">
        <f t="shared" si="4"/>
        <v>3.0869999999999995E-2</v>
      </c>
      <c r="X16" s="80">
        <f t="shared" si="2"/>
        <v>8.0984774862325892</v>
      </c>
    </row>
    <row r="17" spans="1:24" ht="15" customHeight="1" x14ac:dyDescent="0.2">
      <c r="A17" s="102" t="s">
        <v>75</v>
      </c>
      <c r="B17" s="62">
        <f>STDEV($N$3:$N$252)</f>
        <v>0.13444329659748752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6.1739999999999989E-2</v>
      </c>
      <c r="V17" s="84">
        <v>1</v>
      </c>
      <c r="W17" s="79">
        <f t="shared" si="4"/>
        <v>5.1449999999999996E-2</v>
      </c>
      <c r="X17" s="80">
        <f t="shared" si="2"/>
        <v>4.0492387431162946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0.25334982622478897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8.231999999999999E-2</v>
      </c>
      <c r="V18" s="84">
        <v>1</v>
      </c>
      <c r="W18" s="79">
        <f t="shared" si="4"/>
        <v>7.2029999999999983E-2</v>
      </c>
      <c r="X18" s="80">
        <f t="shared" si="2"/>
        <v>4.0492387431162946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0.10289999999999999</v>
      </c>
      <c r="V19" s="84">
        <v>1</v>
      </c>
      <c r="W19" s="79">
        <f t="shared" si="4"/>
        <v>9.2609999999999998E-2</v>
      </c>
      <c r="X19" s="80">
        <f t="shared" si="2"/>
        <v>4.0492387431162946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0.12347999999999998</v>
      </c>
      <c r="V20" s="84">
        <v>1</v>
      </c>
      <c r="W20" s="79">
        <f t="shared" si="4"/>
        <v>0.11318999999999999</v>
      </c>
      <c r="X20" s="80">
        <f t="shared" si="2"/>
        <v>4.0492387431162946</v>
      </c>
    </row>
    <row r="21" spans="1:24" ht="15" customHeight="1" x14ac:dyDescent="0.2">
      <c r="A21" s="103" t="s">
        <v>76</v>
      </c>
      <c r="B21" s="62">
        <f>NORMINV(0.975,$B$16,$B$17)</f>
        <v>0.40100401929391183</v>
      </c>
      <c r="C21" s="62">
        <f>NORMINV(0.025,$B$16,$B$17)</f>
        <v>-0.12600401929391195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0.14405999999999999</v>
      </c>
      <c r="V21" s="84">
        <v>1</v>
      </c>
      <c r="W21" s="79">
        <f t="shared" si="4"/>
        <v>0.13377</v>
      </c>
      <c r="X21" s="80">
        <f t="shared" si="2"/>
        <v>4.0492387431162946</v>
      </c>
    </row>
    <row r="22" spans="1:24" ht="15" customHeight="1" x14ac:dyDescent="0.2">
      <c r="A22" s="104" t="s">
        <v>77</v>
      </c>
      <c r="B22" s="62">
        <f>NORMINV(0.99,$B$16,$B$17)</f>
        <v>0.45026187721860733</v>
      </c>
      <c r="C22" s="62">
        <f>NORMINV(0.01,B16,B17)</f>
        <v>-0.17526187721860734</v>
      </c>
      <c r="M22" s="56"/>
      <c r="N22" s="57"/>
      <c r="O22" s="58" t="b">
        <f t="shared" si="0"/>
        <v>0</v>
      </c>
      <c r="T22" s="69">
        <v>8</v>
      </c>
      <c r="U22" s="77">
        <f t="shared" si="3"/>
        <v>0.16463999999999998</v>
      </c>
      <c r="V22" s="84">
        <v>0</v>
      </c>
      <c r="W22" s="79">
        <f t="shared" si="4"/>
        <v>0.15434999999999999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0.55026187721860731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0.18521999999999997</v>
      </c>
      <c r="V23" s="84">
        <v>1</v>
      </c>
      <c r="W23" s="79">
        <f t="shared" si="4"/>
        <v>0.17492999999999997</v>
      </c>
      <c r="X23" s="80">
        <f t="shared" si="2"/>
        <v>4.0492387431162946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0.20579999999999998</v>
      </c>
      <c r="V24" s="84">
        <v>0</v>
      </c>
      <c r="W24" s="79">
        <f t="shared" si="4"/>
        <v>0.19550999999999996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>
        <f>MEDIAN($O$3:$O$252)</f>
        <v>-1.8325814637483102</v>
      </c>
      <c r="T25" s="69">
        <v>11</v>
      </c>
      <c r="U25" s="77">
        <f t="shared" si="3"/>
        <v>0.22637999999999997</v>
      </c>
      <c r="V25" s="84">
        <v>2</v>
      </c>
      <c r="W25" s="79">
        <f t="shared" si="4"/>
        <v>0.21608999999999998</v>
      </c>
      <c r="X25" s="80">
        <f t="shared" si="2"/>
        <v>8.0984774862325892</v>
      </c>
    </row>
    <row r="26" spans="1:24" ht="15" customHeight="1" x14ac:dyDescent="0.2">
      <c r="A26" s="86" t="s">
        <v>36</v>
      </c>
      <c r="B26" s="134">
        <v>0.05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>
        <f>AVERAGE($O$3:$O$252)</f>
        <v>-1.7868304717276657</v>
      </c>
      <c r="T26" s="69">
        <v>12</v>
      </c>
      <c r="U26" s="77">
        <f t="shared" si="3"/>
        <v>0.24695999999999996</v>
      </c>
      <c r="V26" s="84">
        <v>1</v>
      </c>
      <c r="W26" s="79">
        <f t="shared" si="4"/>
        <v>0.23666999999999996</v>
      </c>
      <c r="X26" s="80">
        <f t="shared" si="2"/>
        <v>4.0492387431162946</v>
      </c>
    </row>
    <row r="27" spans="1:24" ht="15" customHeight="1" x14ac:dyDescent="0.2">
      <c r="A27" s="65" t="s">
        <v>17</v>
      </c>
      <c r="B27" s="62">
        <f>EXP($R$26)</f>
        <v>0.1674901941652554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>
        <f>STDEV($O$3:$O$252)</f>
        <v>0.62229207247324292</v>
      </c>
      <c r="T27" s="69">
        <v>13</v>
      </c>
      <c r="U27" s="77">
        <f t="shared" si="3"/>
        <v>0.26753999999999994</v>
      </c>
      <c r="V27" s="84">
        <v>0</v>
      </c>
      <c r="W27" s="79">
        <f t="shared" si="4"/>
        <v>0.25724999999999998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7.7051775329740335E-2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>
        <f>NORMINV(0.025,$R$26,$R$27)</f>
        <v>-3.0065005216400111</v>
      </c>
      <c r="T28" s="69">
        <v>14</v>
      </c>
      <c r="U28" s="77">
        <f t="shared" si="3"/>
        <v>0.28811999999999999</v>
      </c>
      <c r="V28" s="84">
        <v>0</v>
      </c>
      <c r="W28" s="79">
        <f t="shared" si="4"/>
        <v>0.27782999999999997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/>
      <c r="N29" s="57"/>
      <c r="O29" s="58" t="b">
        <f t="shared" si="0"/>
        <v>0</v>
      </c>
      <c r="Q29" s="75" t="s">
        <v>107</v>
      </c>
      <c r="R29" s="75">
        <f>NORMINV(0.01,$R$26,$R$27)</f>
        <v>-3.2344983115582631</v>
      </c>
      <c r="T29" s="69">
        <v>15</v>
      </c>
      <c r="U29" s="77">
        <f t="shared" si="3"/>
        <v>0.30869999999999997</v>
      </c>
      <c r="V29" s="84">
        <v>0</v>
      </c>
      <c r="W29" s="79">
        <f t="shared" si="4"/>
        <v>0.29840999999999995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>
        <f>NORMINV(0.95,$R$26,$R$27)</f>
        <v>-0.76325109929690416</v>
      </c>
      <c r="T30" s="69">
        <v>16</v>
      </c>
      <c r="U30" s="77">
        <f t="shared" si="3"/>
        <v>0.32927999999999996</v>
      </c>
      <c r="V30" s="84">
        <v>0</v>
      </c>
      <c r="W30" s="79">
        <f t="shared" si="4"/>
        <v>0.31899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0.41614846587608495</v>
      </c>
      <c r="C31" s="62">
        <f>NORMINV(0.025,$R$26,$R$27)</f>
        <v>-3.0065005216400111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>
        <f>NORMINV(0.98,$R$26,$R$27)</f>
        <v>-0.50879880579092429</v>
      </c>
      <c r="T31" s="69">
        <v>17</v>
      </c>
      <c r="U31" s="77">
        <f t="shared" si="3"/>
        <v>0.34985999999999995</v>
      </c>
      <c r="V31" s="84">
        <v>0</v>
      </c>
      <c r="W31" s="79">
        <f t="shared" si="4"/>
        <v>0.33956999999999993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0.55121732401540813</v>
      </c>
      <c r="C32" s="62">
        <f>NORMINV(0.01,$R$26,$R$27)</f>
        <v>-3.2344983115582631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0.37043999999999994</v>
      </c>
      <c r="V32" s="84">
        <v>0</v>
      </c>
      <c r="W32" s="79">
        <f t="shared" si="4"/>
        <v>0.36014999999999997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0.65121732401540811</v>
      </c>
      <c r="M33" s="56"/>
      <c r="N33" s="57"/>
      <c r="O33" s="58" t="b">
        <f t="shared" si="0"/>
        <v>0</v>
      </c>
      <c r="T33" s="69">
        <v>19</v>
      </c>
      <c r="U33" s="77">
        <f t="shared" si="3"/>
        <v>0.39101999999999998</v>
      </c>
      <c r="V33" s="84">
        <v>0</v>
      </c>
      <c r="W33" s="79">
        <f t="shared" si="4"/>
        <v>0.38072999999999996</v>
      </c>
      <c r="X33" s="80">
        <f t="shared" si="2"/>
        <v>0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0.41159999999999997</v>
      </c>
      <c r="V34" s="84">
        <v>0</v>
      </c>
      <c r="W34" s="79">
        <f t="shared" si="4"/>
        <v>0.40130999999999994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0.43217999999999995</v>
      </c>
      <c r="V35" s="84">
        <v>0</v>
      </c>
      <c r="W35" s="79">
        <f t="shared" si="4"/>
        <v>0.42188999999999999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0.45275999999999994</v>
      </c>
      <c r="V36" s="84">
        <v>0</v>
      </c>
      <c r="W36" s="79">
        <f t="shared" si="4"/>
        <v>0.44246999999999992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0.51449999999999996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0.47333999999999993</v>
      </c>
      <c r="V37" s="84">
        <v>0</v>
      </c>
      <c r="W37" s="79">
        <f t="shared" si="4"/>
        <v>0.46304999999999996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2.0579999999999998E-2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0.49391999999999991</v>
      </c>
      <c r="V38" s="84">
        <v>0</v>
      </c>
      <c r="W38" s="79">
        <f t="shared" si="4"/>
        <v>0.48362999999999989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0.51449999999999996</v>
      </c>
      <c r="V39" s="84">
        <v>1</v>
      </c>
      <c r="W39" s="79">
        <f t="shared" si="4"/>
        <v>0.50420999999999994</v>
      </c>
      <c r="X39" s="80">
        <f t="shared" si="2"/>
        <v>4.0492387431162946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-2.0579999999999999E-4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2.0579999999999999E-4</v>
      </c>
      <c r="U47" s="28">
        <f>$X$15</f>
        <v>8.0984774862325892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2.0374199999999999E-2</v>
      </c>
      <c r="U48" s="28">
        <f>$X$15</f>
        <v>8.0984774862325892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2.0785799999999997E-2</v>
      </c>
      <c r="U49" s="28">
        <f>$X$16</f>
        <v>8.0984774862325892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4.0954199999999996E-2</v>
      </c>
      <c r="U50" s="28">
        <f>$X$16</f>
        <v>8.0984774862325892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4.1365799999999994E-2</v>
      </c>
      <c r="U51" s="28">
        <f>$X$17</f>
        <v>4.0492387431162946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6.153419999999999E-2</v>
      </c>
      <c r="U52" s="28">
        <f>$X$17</f>
        <v>4.0492387431162946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6.1945799999999988E-2</v>
      </c>
      <c r="U53" s="28">
        <f>$X$18</f>
        <v>4.0492387431162946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8.2114199999999984E-2</v>
      </c>
      <c r="U54" s="28">
        <f>$X$18</f>
        <v>4.0492387431162946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8.2525799999999996E-2</v>
      </c>
      <c r="U55" s="28">
        <f>$X$19</f>
        <v>4.0492387431162946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0.10269419999999999</v>
      </c>
      <c r="U56" s="28">
        <f>$X$19</f>
        <v>4.0492387431162946</v>
      </c>
    </row>
    <row r="57" spans="5:21" ht="15" x14ac:dyDescent="0.2">
      <c r="E57" s="70">
        <v>1</v>
      </c>
      <c r="F57" s="74">
        <f>$B$21</f>
        <v>0.40100401929391183</v>
      </c>
      <c r="G57" s="74">
        <f>$C$21</f>
        <v>-0.12600401929391195</v>
      </c>
      <c r="H57" s="74">
        <f>$B$22</f>
        <v>0.45026187721860733</v>
      </c>
      <c r="I57" s="74">
        <f>$C$22</f>
        <v>-0.17526187721860734</v>
      </c>
      <c r="J57" s="74">
        <f>$B$31</f>
        <v>0.41614846587608495</v>
      </c>
      <c r="K57" s="74">
        <f>$B$32</f>
        <v>0.55121732401540813</v>
      </c>
      <c r="M57" s="56"/>
      <c r="N57" s="57"/>
      <c r="O57" s="58" t="b">
        <f t="shared" si="0"/>
        <v>0</v>
      </c>
      <c r="T57" s="85">
        <f>$U$19+$B$38/100</f>
        <v>0.1031058</v>
      </c>
      <c r="U57" s="28">
        <f>$X$20</f>
        <v>4.0492387431162946</v>
      </c>
    </row>
    <row r="58" spans="5:21" ht="15" x14ac:dyDescent="0.2">
      <c r="E58" s="70">
        <v>73415</v>
      </c>
      <c r="F58" s="74">
        <f>$B$21</f>
        <v>0.40100401929391183</v>
      </c>
      <c r="G58" s="74">
        <f>$C$21</f>
        <v>-0.12600401929391195</v>
      </c>
      <c r="H58" s="74">
        <f>$B$22</f>
        <v>0.45026187721860733</v>
      </c>
      <c r="I58" s="74">
        <f>$C$22</f>
        <v>-0.17526187721860734</v>
      </c>
      <c r="J58" s="74">
        <f>$B$31</f>
        <v>0.41614846587608495</v>
      </c>
      <c r="K58" s="74">
        <f>$B$32</f>
        <v>0.55121732401540813</v>
      </c>
      <c r="M58" s="56"/>
      <c r="N58" s="57"/>
      <c r="O58" s="58" t="b">
        <f t="shared" si="0"/>
        <v>0</v>
      </c>
      <c r="T58" s="85">
        <f>$U$20-$B$38/100</f>
        <v>0.12327419999999997</v>
      </c>
      <c r="U58" s="28">
        <f>$X$20</f>
        <v>4.0492387431162946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0.12368579999999998</v>
      </c>
      <c r="U59" s="28">
        <f>$X$21</f>
        <v>4.0492387431162946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0.14385419999999999</v>
      </c>
      <c r="U60" s="28">
        <f>$X$21</f>
        <v>4.0492387431162946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0.1442658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0.16443419999999997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-0.53471648298743768</v>
      </c>
      <c r="G63" s="73">
        <f>NORMDIST($F63,$B$16,$B$17,FALSE)</f>
        <v>1.1058338737299913E-5</v>
      </c>
      <c r="H63" s="73">
        <f>EXP($R$26+$E63*$R$27)</f>
        <v>7.4593213996838751E-3</v>
      </c>
      <c r="I63" s="73">
        <f t="shared" ref="I63:I113" si="5">H63-$B$26</f>
        <v>-4.2540678600316129E-2</v>
      </c>
      <c r="J63" s="73">
        <f>1/$H63/SQRT(2*PI())/$R$27*EXP(-POWER(LN($H63)-$R$26,2)/2/POWER($R$27,2))</f>
        <v>3.2028415476725554E-4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0.16484579999999999</v>
      </c>
      <c r="U63" s="28">
        <f>$X$23</f>
        <v>4.0492387431162946</v>
      </c>
    </row>
    <row r="64" spans="5:21" ht="15" x14ac:dyDescent="0.2">
      <c r="E64" s="72">
        <v>-4.8</v>
      </c>
      <c r="F64" s="73">
        <f t="shared" ref="F64:F113" si="6">$B$16+$E64*$B$17</f>
        <v>-0.5078278236679401</v>
      </c>
      <c r="G64" s="73">
        <f t="shared" ref="G64:G113" si="7">NORMDIST($F64,$B$16,$B$17,FALSE)</f>
        <v>2.9464459673968629E-5</v>
      </c>
      <c r="H64" s="73">
        <f t="shared" ref="H64:H113" si="8">EXP($R$26+$E64*$R$27)</f>
        <v>8.4479419828749312E-3</v>
      </c>
      <c r="I64" s="73">
        <f t="shared" si="5"/>
        <v>-4.1552058017125068E-2</v>
      </c>
      <c r="J64" s="73">
        <f t="shared" ref="J64:J113" si="9">1/$H64/SQRT(2*PI())/$R$27*EXP(-POWER(LN($H64)-$R$26,2)/2/POWER($R$27,2))</f>
        <v>7.5351593884558066E-4</v>
      </c>
      <c r="K64" s="73">
        <f t="shared" ref="K64:K113" si="10">LOGNORMDIST($H64,$R$26,$R$27)</f>
        <v>7.9332815197559777E-7</v>
      </c>
      <c r="M64" s="56"/>
      <c r="N64" s="57"/>
      <c r="O64" s="58" t="b">
        <f t="shared" si="0"/>
        <v>0</v>
      </c>
      <c r="T64" s="85">
        <f>$U$23-$B$38/100</f>
        <v>0.18501419999999996</v>
      </c>
      <c r="U64" s="28">
        <f>$X$23</f>
        <v>4.0492387431162946</v>
      </c>
    </row>
    <row r="65" spans="5:21" ht="15" x14ac:dyDescent="0.2">
      <c r="E65" s="72">
        <v>-4.5999999999999996</v>
      </c>
      <c r="F65" s="73">
        <f t="shared" si="6"/>
        <v>-0.48093916434844264</v>
      </c>
      <c r="G65" s="73">
        <f t="shared" si="7"/>
        <v>7.542846926647195E-5</v>
      </c>
      <c r="H65" s="73">
        <f t="shared" si="8"/>
        <v>9.5675893183856248E-3</v>
      </c>
      <c r="I65" s="73">
        <f t="shared" si="5"/>
        <v>-4.0432410681614378E-2</v>
      </c>
      <c r="J65" s="73">
        <f t="shared" si="9"/>
        <v>1.7032470819505444E-3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0.18542579999999997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-0.45405050502894517</v>
      </c>
      <c r="G66" s="73">
        <f t="shared" si="7"/>
        <v>1.8552409767762015E-4</v>
      </c>
      <c r="H66" s="73">
        <f t="shared" si="8"/>
        <v>1.0835629026672721E-2</v>
      </c>
      <c r="I66" s="73">
        <f t="shared" si="5"/>
        <v>-3.9164370973327284E-2</v>
      </c>
      <c r="J66" s="73">
        <f t="shared" si="9"/>
        <v>3.6990575202700995E-3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0.20559419999999998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-0.42716184570944771</v>
      </c>
      <c r="G67" s="73">
        <f t="shared" si="7"/>
        <v>4.3842325536698701E-4</v>
      </c>
      <c r="H67" s="73">
        <f t="shared" si="8"/>
        <v>1.2271728279353415E-2</v>
      </c>
      <c r="I67" s="73">
        <f t="shared" si="5"/>
        <v>-3.7728271720646592E-2</v>
      </c>
      <c r="J67" s="73">
        <f t="shared" si="9"/>
        <v>7.7184969420599344E-3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0.20600579999999999</v>
      </c>
      <c r="U67" s="28">
        <f>$X$25</f>
        <v>8.0984774862325892</v>
      </c>
    </row>
    <row r="68" spans="5:21" ht="15" x14ac:dyDescent="0.2">
      <c r="E68" s="72">
        <v>-4</v>
      </c>
      <c r="F68" s="73">
        <f t="shared" si="6"/>
        <v>-0.40027318638995013</v>
      </c>
      <c r="G68" s="73">
        <f t="shared" si="7"/>
        <v>9.9543993008117298E-4</v>
      </c>
      <c r="H68" s="73">
        <f t="shared" si="8"/>
        <v>1.3898160835109852E-2</v>
      </c>
      <c r="I68" s="73">
        <f t="shared" si="5"/>
        <v>-3.6101839164890154E-2</v>
      </c>
      <c r="J68" s="73">
        <f t="shared" si="9"/>
        <v>1.5474000585452102E-2</v>
      </c>
      <c r="K68" s="73">
        <f t="shared" si="10"/>
        <v>3.1671241833119972E-5</v>
      </c>
      <c r="M68" s="56"/>
      <c r="N68" s="57"/>
      <c r="O68" s="58" t="b">
        <f t="shared" si="11"/>
        <v>0</v>
      </c>
      <c r="T68" s="85">
        <f>$U$25-$B$38/100</f>
        <v>0.22617419999999996</v>
      </c>
      <c r="U68" s="28">
        <f>$X$25</f>
        <v>8.0984774862325892</v>
      </c>
    </row>
    <row r="69" spans="5:21" ht="15" x14ac:dyDescent="0.2">
      <c r="E69" s="72">
        <v>-3.8</v>
      </c>
      <c r="F69" s="73">
        <f t="shared" si="6"/>
        <v>-0.37338452707045255</v>
      </c>
      <c r="G69" s="73">
        <f t="shared" si="7"/>
        <v>2.1715245994415517E-3</v>
      </c>
      <c r="H69" s="73">
        <f t="shared" si="8"/>
        <v>1.5740152503503652E-2</v>
      </c>
      <c r="I69" s="73">
        <f t="shared" si="5"/>
        <v>-3.4259847496496354E-2</v>
      </c>
      <c r="J69" s="73">
        <f t="shared" si="9"/>
        <v>2.9805794456761601E-2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0.22658579999999998</v>
      </c>
      <c r="U69" s="28">
        <f>$X$26</f>
        <v>4.0492387431162946</v>
      </c>
    </row>
    <row r="70" spans="5:21" ht="15" x14ac:dyDescent="0.2">
      <c r="E70" s="72">
        <v>-3.6</v>
      </c>
      <c r="F70" s="73">
        <f t="shared" si="6"/>
        <v>-0.34649586775095509</v>
      </c>
      <c r="G70" s="73">
        <f t="shared" si="7"/>
        <v>4.5513755285676947E-3</v>
      </c>
      <c r="H70" s="73">
        <f t="shared" si="8"/>
        <v>1.782627239481031E-2</v>
      </c>
      <c r="I70" s="73">
        <f t="shared" si="5"/>
        <v>-3.2173727605189689E-2</v>
      </c>
      <c r="J70" s="73">
        <f t="shared" si="9"/>
        <v>5.5160350380049121E-2</v>
      </c>
      <c r="K70" s="73">
        <f t="shared" si="10"/>
        <v>1.5910859015753445E-4</v>
      </c>
      <c r="M70" s="56"/>
      <c r="N70" s="57"/>
      <c r="O70" s="58" t="b">
        <f t="shared" si="11"/>
        <v>0</v>
      </c>
      <c r="T70" s="85">
        <f>$U$26-$B$38/100</f>
        <v>0.24675419999999995</v>
      </c>
      <c r="U70" s="28">
        <f>$X$26</f>
        <v>4.0492387431162946</v>
      </c>
    </row>
    <row r="71" spans="5:21" ht="15" x14ac:dyDescent="0.2">
      <c r="E71" s="72">
        <v>-3.4</v>
      </c>
      <c r="F71" s="73">
        <f t="shared" si="6"/>
        <v>-0.31960720843145762</v>
      </c>
      <c r="G71" s="73">
        <f t="shared" si="7"/>
        <v>9.1653447933680594E-3</v>
      </c>
      <c r="H71" s="73">
        <f t="shared" si="8"/>
        <v>2.0188876024119902E-2</v>
      </c>
      <c r="I71" s="73">
        <f t="shared" si="5"/>
        <v>-2.9811123975880101E-2</v>
      </c>
      <c r="J71" s="73">
        <f t="shared" si="9"/>
        <v>9.8080246994192266E-2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0.24716579999999996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-0.29271854911196016</v>
      </c>
      <c r="G72" s="73">
        <f t="shared" si="7"/>
        <v>1.7733038848360062E-2</v>
      </c>
      <c r="H72" s="73">
        <f t="shared" si="8"/>
        <v>2.2864607142205683E-2</v>
      </c>
      <c r="I72" s="73">
        <f t="shared" si="5"/>
        <v>-2.7135392857794319E-2</v>
      </c>
      <c r="J72" s="73">
        <f t="shared" si="9"/>
        <v>0.16755766756501508</v>
      </c>
      <c r="K72" s="73">
        <f t="shared" si="10"/>
        <v>6.8713793791584817E-4</v>
      </c>
      <c r="M72" s="56"/>
      <c r="N72" s="57"/>
      <c r="O72" s="58" t="b">
        <f t="shared" si="11"/>
        <v>0</v>
      </c>
      <c r="T72" s="85">
        <f>$U$27-$B$38/100</f>
        <v>0.26733419999999997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-0.26582988979246258</v>
      </c>
      <c r="G73" s="73">
        <f t="shared" si="7"/>
        <v>3.2964443182367111E-2</v>
      </c>
      <c r="H73" s="73">
        <f t="shared" si="8"/>
        <v>2.5894966076507611E-2</v>
      </c>
      <c r="I73" s="73">
        <f t="shared" si="5"/>
        <v>-2.4105033923492392E-2</v>
      </c>
      <c r="J73" s="73">
        <f t="shared" si="9"/>
        <v>0.27502696887336697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0.26774579999999992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-0.23894123047296503</v>
      </c>
      <c r="G74" s="73">
        <f t="shared" si="7"/>
        <v>5.8875762371984948E-2</v>
      </c>
      <c r="H74" s="73">
        <f t="shared" si="8"/>
        <v>2.9326953397144376E-2</v>
      </c>
      <c r="I74" s="73">
        <f t="shared" si="5"/>
        <v>-2.0673046602855627E-2</v>
      </c>
      <c r="J74" s="73">
        <f t="shared" si="9"/>
        <v>0.43372502354326342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0.28791420000000001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-0.21205257115346757</v>
      </c>
      <c r="G75" s="73">
        <f t="shared" si="7"/>
        <v>0.10103121224669118</v>
      </c>
      <c r="H75" s="73">
        <f t="shared" si="8"/>
        <v>3.3213798891150073E-2</v>
      </c>
      <c r="I75" s="73">
        <f t="shared" si="5"/>
        <v>-1.678620110884993E-2</v>
      </c>
      <c r="J75" s="73">
        <f t="shared" si="9"/>
        <v>0.65717630595926391</v>
      </c>
      <c r="K75" s="73">
        <f t="shared" si="10"/>
        <v>4.661188023718738E-3</v>
      </c>
      <c r="M75" s="56"/>
      <c r="N75" s="57"/>
      <c r="O75" s="58" t="b">
        <f t="shared" si="11"/>
        <v>0</v>
      </c>
      <c r="T75" s="85">
        <f>$U$28+$B$38/100</f>
        <v>0.28832579999999997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-0.18516391183397005</v>
      </c>
      <c r="G76" s="73">
        <f t="shared" si="7"/>
        <v>0.16657230863573907</v>
      </c>
      <c r="H76" s="73">
        <f t="shared" si="8"/>
        <v>3.7615787151255187E-2</v>
      </c>
      <c r="I76" s="73">
        <f t="shared" si="5"/>
        <v>-1.2384212848744816E-2</v>
      </c>
      <c r="J76" s="73">
        <f t="shared" si="9"/>
        <v>0.95670387973300541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0.3084942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-0.15827525251447258</v>
      </c>
      <c r="G77" s="73">
        <f t="shared" si="7"/>
        <v>0.26386286073034582</v>
      </c>
      <c r="H77" s="73">
        <f t="shared" si="8"/>
        <v>4.260119258401214E-2</v>
      </c>
      <c r="I77" s="73">
        <f t="shared" si="5"/>
        <v>-7.3988074159878625E-3</v>
      </c>
      <c r="J77" s="73">
        <f t="shared" si="9"/>
        <v>1.3381395109283643</v>
      </c>
      <c r="K77" s="73">
        <f t="shared" si="10"/>
        <v>1.3903447513498582E-2</v>
      </c>
      <c r="L77" s="16"/>
      <c r="M77" s="56"/>
      <c r="N77" s="57"/>
      <c r="O77" s="58" t="b">
        <f t="shared" si="11"/>
        <v>0</v>
      </c>
      <c r="T77" s="85">
        <f>$U$29+$B$38/100</f>
        <v>0.30890579999999995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-0.13138659319497506</v>
      </c>
      <c r="G78" s="73">
        <f t="shared" si="7"/>
        <v>0.40158912998714025</v>
      </c>
      <c r="H78" s="73">
        <f t="shared" si="8"/>
        <v>4.8247338339150861E-2</v>
      </c>
      <c r="I78" s="73">
        <f t="shared" si="5"/>
        <v>-1.7526616608491419E-3</v>
      </c>
      <c r="J78" s="73">
        <f t="shared" si="9"/>
        <v>1.7982640988169771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0.32907419999999998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-0.10449793387547757</v>
      </c>
      <c r="G79" s="73">
        <f t="shared" si="7"/>
        <v>0.58723759606449255</v>
      </c>
      <c r="H79" s="73">
        <f t="shared" si="8"/>
        <v>5.4641795584053701E-2</v>
      </c>
      <c r="I79" s="73">
        <f t="shared" si="5"/>
        <v>4.6417955840536984E-3</v>
      </c>
      <c r="J79" s="73">
        <f t="shared" si="9"/>
        <v>2.3218479424533585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0.32948579999999994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-7.7609274555980073E-2</v>
      </c>
      <c r="G80" s="73">
        <f t="shared" si="7"/>
        <v>0.82503804567916583</v>
      </c>
      <c r="H80" s="73">
        <f t="shared" si="8"/>
        <v>6.1883741723980416E-2</v>
      </c>
      <c r="I80" s="73">
        <f t="shared" si="5"/>
        <v>1.1883741723980414E-2</v>
      </c>
      <c r="J80" s="73">
        <f t="shared" si="9"/>
        <v>2.8803303172017971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0.34965419999999997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-5.0720615236482525E-2</v>
      </c>
      <c r="G81" s="73">
        <f t="shared" si="7"/>
        <v>1.113684872545315</v>
      </c>
      <c r="H81" s="73">
        <f t="shared" si="8"/>
        <v>7.008549863390505E-2</v>
      </c>
      <c r="I81" s="73">
        <f t="shared" si="5"/>
        <v>2.0085498633905047E-2</v>
      </c>
      <c r="J81" s="73">
        <f t="shared" si="9"/>
        <v>3.4330413750183517</v>
      </c>
      <c r="K81" s="73">
        <f t="shared" si="10"/>
        <v>8.0756659233771025E-2</v>
      </c>
      <c r="L81" s="14"/>
      <c r="M81" s="56"/>
      <c r="N81" s="57"/>
      <c r="O81" s="58" t="b">
        <f t="shared" si="11"/>
        <v>0</v>
      </c>
      <c r="T81" s="85">
        <f>$U$31+$B$38/100</f>
        <v>0.35006579999999993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-2.3831955916985031E-2</v>
      </c>
      <c r="G82" s="73">
        <f t="shared" si="7"/>
        <v>1.4443714182685543</v>
      </c>
      <c r="H82" s="73">
        <f t="shared" si="8"/>
        <v>7.9374274759790087E-2</v>
      </c>
      <c r="I82" s="73">
        <f t="shared" si="5"/>
        <v>2.9374274759790084E-2</v>
      </c>
      <c r="J82" s="73">
        <f t="shared" si="9"/>
        <v>3.9313707328529408</v>
      </c>
      <c r="K82" s="73">
        <f t="shared" si="10"/>
        <v>0.11506967022170821</v>
      </c>
      <c r="L82" s="14"/>
      <c r="M82" s="56"/>
      <c r="N82" s="57"/>
      <c r="O82" s="58" t="b">
        <f t="shared" si="11"/>
        <v>0</v>
      </c>
      <c r="T82" s="85">
        <f>$U$32-$B$38/100</f>
        <v>0.37023419999999996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3.0567034025124618E-3</v>
      </c>
      <c r="G83" s="73">
        <f t="shared" si="7"/>
        <v>1.7997976146299386</v>
      </c>
      <c r="H83" s="73">
        <f t="shared" si="8"/>
        <v>8.989413810911781E-2</v>
      </c>
      <c r="I83" s="73">
        <f t="shared" si="5"/>
        <v>3.9894138109117808E-2</v>
      </c>
      <c r="J83" s="73">
        <f t="shared" si="9"/>
        <v>4.3255086376933063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0.37064579999999991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2.9945362722009955E-2</v>
      </c>
      <c r="G84" s="73">
        <f t="shared" si="7"/>
        <v>2.1547489543401785</v>
      </c>
      <c r="H84" s="73">
        <f t="shared" si="8"/>
        <v>0.10180825073156888</v>
      </c>
      <c r="I84" s="73">
        <f t="shared" si="5"/>
        <v>5.1808250731568875E-2</v>
      </c>
      <c r="J84" s="73">
        <f t="shared" si="9"/>
        <v>4.5725513118880627</v>
      </c>
      <c r="K84" s="73">
        <f t="shared" si="10"/>
        <v>0.21185539858339658</v>
      </c>
      <c r="M84" s="56"/>
      <c r="N84" s="57"/>
      <c r="O84" s="58" t="b">
        <f t="shared" si="11"/>
        <v>0</v>
      </c>
      <c r="T84" s="85">
        <f>$U$33-$B$38/100</f>
        <v>0.3908142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5.6834022041507476E-2</v>
      </c>
      <c r="G85" s="73">
        <f t="shared" si="7"/>
        <v>2.4785512652925155</v>
      </c>
      <c r="H85" s="73">
        <f t="shared" si="8"/>
        <v>0.11530139934642411</v>
      </c>
      <c r="I85" s="73">
        <f t="shared" si="5"/>
        <v>6.5301399346424108E-2</v>
      </c>
      <c r="J85" s="73">
        <f t="shared" si="9"/>
        <v>4.6441711101016629</v>
      </c>
      <c r="K85" s="73">
        <f t="shared" si="10"/>
        <v>0.27425311775007349</v>
      </c>
      <c r="M85" s="56"/>
      <c r="N85" s="57"/>
      <c r="O85" s="58" t="b">
        <f t="shared" si="11"/>
        <v>0</v>
      </c>
      <c r="T85" s="85">
        <f>$U$33+$B$38/100</f>
        <v>0.39122579999999996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8.3722681361004969E-2</v>
      </c>
      <c r="G86" s="73">
        <f t="shared" si="7"/>
        <v>2.7392227773608875</v>
      </c>
      <c r="H86" s="73">
        <f t="shared" si="8"/>
        <v>0.13058286136647287</v>
      </c>
      <c r="I86" s="73">
        <f t="shared" si="5"/>
        <v>8.0582861366472872E-2</v>
      </c>
      <c r="J86" s="73">
        <f t="shared" si="9"/>
        <v>4.5319598961027223</v>
      </c>
      <c r="K86" s="73">
        <f t="shared" si="10"/>
        <v>0.34457825838967571</v>
      </c>
      <c r="M86" s="56"/>
      <c r="N86" s="57"/>
      <c r="O86" s="58" t="b">
        <f t="shared" si="11"/>
        <v>0</v>
      </c>
      <c r="T86" s="85">
        <f>$U$34-$B$38/100</f>
        <v>0.41139419999999999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0.11061134068050248</v>
      </c>
      <c r="G87" s="73">
        <f t="shared" si="7"/>
        <v>2.9086068541312735</v>
      </c>
      <c r="H87" s="73">
        <f t="shared" si="8"/>
        <v>0.14788965077017788</v>
      </c>
      <c r="I87" s="73">
        <f t="shared" si="5"/>
        <v>9.7889650770177875E-2</v>
      </c>
      <c r="J87" s="73">
        <f t="shared" si="9"/>
        <v>4.249052766316133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0.41180579999999994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0.13749999999999998</v>
      </c>
      <c r="G88" s="73">
        <f t="shared" si="7"/>
        <v>2.9673646101957316</v>
      </c>
      <c r="H88" s="73">
        <f t="shared" si="8"/>
        <v>0.1674901941652554</v>
      </c>
      <c r="I88" s="73">
        <f t="shared" si="5"/>
        <v>0.1174901941652554</v>
      </c>
      <c r="J88" s="73">
        <f t="shared" si="9"/>
        <v>3.8275988140709449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0.43197419999999997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0.16438865931949748</v>
      </c>
      <c r="G89" s="73">
        <f t="shared" si="7"/>
        <v>2.9086068541312735</v>
      </c>
      <c r="H89" s="73">
        <f t="shared" si="8"/>
        <v>0.18968849405905736</v>
      </c>
      <c r="I89" s="73">
        <f t="shared" si="5"/>
        <v>0.13968849405905737</v>
      </c>
      <c r="J89" s="73">
        <f t="shared" si="9"/>
        <v>3.3127519559457768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0.43238579999999993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0.191277318638995</v>
      </c>
      <c r="G90" s="73">
        <f t="shared" si="7"/>
        <v>2.7392227773608875</v>
      </c>
      <c r="H90" s="73">
        <f t="shared" si="8"/>
        <v>0.21482884390767029</v>
      </c>
      <c r="I90" s="73">
        <f t="shared" si="5"/>
        <v>0.16482884390767027</v>
      </c>
      <c r="J90" s="73">
        <f t="shared" si="9"/>
        <v>2.7547338619274995</v>
      </c>
      <c r="K90" s="73">
        <f t="shared" si="10"/>
        <v>0.65542174161032418</v>
      </c>
      <c r="M90" s="56"/>
      <c r="N90" s="57"/>
      <c r="O90" s="58" t="b">
        <f t="shared" si="11"/>
        <v>0</v>
      </c>
      <c r="T90" s="85">
        <f>$U$36-$B$38/100</f>
        <v>0.45255419999999996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0.21816597795849249</v>
      </c>
      <c r="G91" s="73">
        <f t="shared" si="7"/>
        <v>2.4785512652925155</v>
      </c>
      <c r="H91" s="73">
        <f t="shared" si="8"/>
        <v>0.24330116807368105</v>
      </c>
      <c r="I91" s="73">
        <f t="shared" si="5"/>
        <v>0.19330116807368103</v>
      </c>
      <c r="J91" s="73">
        <f t="shared" si="9"/>
        <v>2.2008913152311456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0.45296579999999992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0.24505463727799134</v>
      </c>
      <c r="G92" s="73">
        <f t="shared" si="7"/>
        <v>2.1547489543401612</v>
      </c>
      <c r="H92" s="73">
        <f t="shared" si="8"/>
        <v>0.27554706951483271</v>
      </c>
      <c r="I92" s="73">
        <f t="shared" si="5"/>
        <v>0.22554706951483272</v>
      </c>
      <c r="J92" s="73">
        <f t="shared" si="9"/>
        <v>1.6894516470936418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0.47313419999999995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0.27194329659748884</v>
      </c>
      <c r="G93" s="73">
        <f t="shared" si="7"/>
        <v>1.7997976146299202</v>
      </c>
      <c r="H93" s="73">
        <f t="shared" si="8"/>
        <v>0.31206667900261859</v>
      </c>
      <c r="I93" s="73">
        <f t="shared" si="5"/>
        <v>0.2620666790026186</v>
      </c>
      <c r="J93" s="73">
        <f t="shared" si="9"/>
        <v>1.2460089366533023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0.47354579999999991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0.29883195591698636</v>
      </c>
      <c r="G94" s="73">
        <f t="shared" si="7"/>
        <v>1.4443714182685372</v>
      </c>
      <c r="H94" s="73">
        <f t="shared" si="8"/>
        <v>0.35342641210154879</v>
      </c>
      <c r="I94" s="73">
        <f t="shared" si="5"/>
        <v>0.3034264121015488</v>
      </c>
      <c r="J94" s="73">
        <f t="shared" si="9"/>
        <v>0.88292694050947917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0.49371419999999994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0.32572061523648388</v>
      </c>
      <c r="G95" s="73">
        <f t="shared" si="7"/>
        <v>1.113684872545299</v>
      </c>
      <c r="H95" s="73">
        <f t="shared" si="8"/>
        <v>0.40026775421904509</v>
      </c>
      <c r="I95" s="73">
        <f t="shared" si="5"/>
        <v>0.3502677542190451</v>
      </c>
      <c r="J95" s="73">
        <f t="shared" si="9"/>
        <v>0.60111366469784067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0.49412579999999989</v>
      </c>
      <c r="U95" s="28">
        <f>$X$39</f>
        <v>4.0492387431162946</v>
      </c>
    </row>
    <row r="96" spans="5:21" ht="15" x14ac:dyDescent="0.2">
      <c r="E96" s="72">
        <v>1.6000000000000101</v>
      </c>
      <c r="F96" s="73">
        <f t="shared" si="6"/>
        <v>0.35260927455598134</v>
      </c>
      <c r="G96" s="73">
        <f t="shared" si="7"/>
        <v>0.82503804567915295</v>
      </c>
      <c r="H96" s="73">
        <f t="shared" si="8"/>
        <v>0.45331720998125091</v>
      </c>
      <c r="I96" s="73">
        <f t="shared" si="5"/>
        <v>0.40331720998125092</v>
      </c>
      <c r="J96" s="73">
        <f t="shared" si="9"/>
        <v>0.3932028467148555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0.51429419999999992</v>
      </c>
      <c r="U96" s="28">
        <f>$X$39</f>
        <v>4.0492387431162946</v>
      </c>
    </row>
    <row r="97" spans="5:21" ht="15" x14ac:dyDescent="0.2">
      <c r="E97" s="72">
        <v>1.80000000000001</v>
      </c>
      <c r="F97" s="73">
        <f t="shared" si="6"/>
        <v>0.37949793387547887</v>
      </c>
      <c r="G97" s="73">
        <f t="shared" si="7"/>
        <v>0.587237596064482</v>
      </c>
      <c r="H97" s="73">
        <f t="shared" si="8"/>
        <v>0.51339757124859053</v>
      </c>
      <c r="I97" s="73">
        <f t="shared" si="5"/>
        <v>0.46339757124859055</v>
      </c>
      <c r="J97" s="73">
        <f t="shared" si="9"/>
        <v>0.24711831094222017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0.51470579999999999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0.40638659319497639</v>
      </c>
      <c r="G98" s="73">
        <f t="shared" si="7"/>
        <v>0.40158912998713198</v>
      </c>
      <c r="H98" s="73">
        <f t="shared" si="8"/>
        <v>0.58144067853689729</v>
      </c>
      <c r="I98" s="73">
        <f t="shared" si="5"/>
        <v>0.53144067853689725</v>
      </c>
      <c r="J98" s="73">
        <f t="shared" si="9"/>
        <v>0.14921807090809419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0.43327525251447385</v>
      </c>
      <c r="G99" s="73">
        <f t="shared" si="7"/>
        <v>0.26386286073034015</v>
      </c>
      <c r="H99" s="73">
        <f t="shared" si="8"/>
        <v>0.6585018737724998</v>
      </c>
      <c r="I99" s="73">
        <f t="shared" si="5"/>
        <v>0.60850187377249976</v>
      </c>
      <c r="J99" s="73">
        <f t="shared" si="9"/>
        <v>8.6569744566935766E-2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0.46016391183397143</v>
      </c>
      <c r="G100" s="73">
        <f t="shared" si="7"/>
        <v>0.16657230863573488</v>
      </c>
      <c r="H100" s="73">
        <f t="shared" si="8"/>
        <v>0.74577636854208562</v>
      </c>
      <c r="I100" s="73">
        <f t="shared" si="5"/>
        <v>0.69577636854208558</v>
      </c>
      <c r="J100" s="73">
        <f t="shared" si="9"/>
        <v>4.8254639091296216E-2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0.48705257115346889</v>
      </c>
      <c r="G101" s="73">
        <f t="shared" si="7"/>
        <v>0.10103121224668847</v>
      </c>
      <c r="H101" s="73">
        <f t="shared" si="8"/>
        <v>0.84461778170728674</v>
      </c>
      <c r="I101" s="73">
        <f t="shared" si="5"/>
        <v>0.7946177817072867</v>
      </c>
      <c r="J101" s="73">
        <f t="shared" si="9"/>
        <v>2.5842839370535432E-2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0.51394123047296636</v>
      </c>
      <c r="G102" s="73">
        <f t="shared" si="7"/>
        <v>5.8875762371983276E-2</v>
      </c>
      <c r="H102" s="73">
        <f t="shared" si="8"/>
        <v>0.95655913390058134</v>
      </c>
      <c r="I102" s="73">
        <f t="shared" si="5"/>
        <v>0.90655913390058129</v>
      </c>
      <c r="J102" s="73">
        <f t="shared" si="9"/>
        <v>1.3297487945946774E-2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0.54082988979246394</v>
      </c>
      <c r="G103" s="73">
        <f t="shared" si="7"/>
        <v>3.2964443182366056E-2</v>
      </c>
      <c r="H103" s="73">
        <f t="shared" si="8"/>
        <v>1.0833366245250766</v>
      </c>
      <c r="I103" s="73">
        <f t="shared" si="5"/>
        <v>1.0333366245250766</v>
      </c>
      <c r="J103" s="73">
        <f t="shared" si="9"/>
        <v>6.5739622088586483E-3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0.5677185491119614</v>
      </c>
      <c r="G104" s="73">
        <f t="shared" si="7"/>
        <v>1.7733038848359497E-2</v>
      </c>
      <c r="H104" s="73">
        <f t="shared" si="8"/>
        <v>1.2269165600371186</v>
      </c>
      <c r="I104" s="73">
        <f t="shared" si="5"/>
        <v>1.1769165600371185</v>
      </c>
      <c r="J104" s="73">
        <f t="shared" si="9"/>
        <v>3.1225760311054413E-3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0.59460720843145887</v>
      </c>
      <c r="G105" s="73">
        <f t="shared" si="7"/>
        <v>9.1653447933677402E-3</v>
      </c>
      <c r="H105" s="73">
        <f t="shared" si="8"/>
        <v>1.3895258511667463</v>
      </c>
      <c r="I105" s="73">
        <f t="shared" si="5"/>
        <v>1.3395258511667463</v>
      </c>
      <c r="J105" s="73">
        <f t="shared" si="9"/>
        <v>1.4250400201752836E-3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0.62149586775095633</v>
      </c>
      <c r="G106" s="73">
        <f t="shared" si="7"/>
        <v>4.5513755285675282E-3</v>
      </c>
      <c r="H106" s="73">
        <f t="shared" si="8"/>
        <v>1.5736865520848926</v>
      </c>
      <c r="I106" s="73">
        <f t="shared" si="5"/>
        <v>1.5236865520848926</v>
      </c>
      <c r="J106" s="73">
        <f t="shared" si="9"/>
        <v>6.248407155574722E-4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0.64838452707045391</v>
      </c>
      <c r="G107" s="73">
        <f t="shared" si="7"/>
        <v>2.1715245994414645E-3</v>
      </c>
      <c r="H107" s="73">
        <f t="shared" si="8"/>
        <v>1.7822549772164356</v>
      </c>
      <c r="I107" s="73">
        <f t="shared" si="5"/>
        <v>1.7322549772164355</v>
      </c>
      <c r="J107" s="73">
        <f t="shared" si="9"/>
        <v>2.6323267783503042E-4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0.67527318638995137</v>
      </c>
      <c r="G108" s="73">
        <f t="shared" si="7"/>
        <v>9.9543993008113394E-4</v>
      </c>
      <c r="H108" s="73">
        <f t="shared" si="8"/>
        <v>2.0184660023970289</v>
      </c>
      <c r="I108" s="73">
        <f t="shared" si="5"/>
        <v>1.9684660023970288</v>
      </c>
      <c r="J108" s="73">
        <f t="shared" si="9"/>
        <v>1.0654633203818807E-4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0.70216184570944884</v>
      </c>
      <c r="G109" s="73">
        <f t="shared" si="7"/>
        <v>4.3842325536696912E-4</v>
      </c>
      <c r="H109" s="73">
        <f t="shared" si="8"/>
        <v>2.2859832374803206</v>
      </c>
      <c r="I109" s="73">
        <f t="shared" si="5"/>
        <v>2.2359832374803208</v>
      </c>
      <c r="J109" s="73">
        <f t="shared" si="9"/>
        <v>4.1434817038456575E-5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0.72905050502894642</v>
      </c>
      <c r="G110" s="73">
        <f t="shared" si="7"/>
        <v>1.8552409767761224E-4</v>
      </c>
      <c r="H110" s="73">
        <f t="shared" si="8"/>
        <v>2.5889558485677773</v>
      </c>
      <c r="I110" s="73">
        <f t="shared" si="5"/>
        <v>2.5389558485677775</v>
      </c>
      <c r="J110" s="73">
        <f t="shared" si="9"/>
        <v>1.5481768474399597E-5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0.75593916434844399</v>
      </c>
      <c r="G111" s="73">
        <f t="shared" si="7"/>
        <v>7.5428469266468196E-5</v>
      </c>
      <c r="H111" s="73">
        <f t="shared" si="8"/>
        <v>2.9320829111683295</v>
      </c>
      <c r="I111" s="73">
        <f t="shared" si="5"/>
        <v>2.8820829111683297</v>
      </c>
      <c r="J111" s="73">
        <f t="shared" si="9"/>
        <v>5.5578130228750303E-6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0.78282782366794135</v>
      </c>
      <c r="G112" s="73">
        <f t="shared" si="7"/>
        <v>2.9464459673967274E-5</v>
      </c>
      <c r="H112" s="73">
        <f t="shared" si="8"/>
        <v>3.3206862923990386</v>
      </c>
      <c r="I112" s="73">
        <f t="shared" si="5"/>
        <v>3.2706862923990387</v>
      </c>
      <c r="J112" s="73">
        <f t="shared" si="9"/>
        <v>1.9169708831302419E-6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0.80971648298743759</v>
      </c>
      <c r="G113" s="73">
        <f t="shared" si="7"/>
        <v>1.1058338737299913E-5</v>
      </c>
      <c r="H113" s="73">
        <f t="shared" si="8"/>
        <v>3.760793192622566</v>
      </c>
      <c r="I113" s="73">
        <f t="shared" si="5"/>
        <v>3.7107931926225661</v>
      </c>
      <c r="J113" s="73">
        <f t="shared" si="9"/>
        <v>6.3526557491161226E-7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0.42305045105589123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-0.97004236408500177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2.8799000565600318E-5</v>
      </c>
      <c r="H120" s="69" t="s">
        <v>50</v>
      </c>
      <c r="I120" s="79">
        <f>IF($B$9&gt;3,INDEX(XX!$C$4:$C$150,$B$9))</f>
        <v>0.51390000000000002</v>
      </c>
      <c r="J120" s="79">
        <f>IF($B$9&gt;3,INDEX(XX!$D$4:$D$150,$B$9))</f>
        <v>0.6411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41753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54" t="s">
        <v>136</v>
      </c>
      <c r="B1" s="155"/>
      <c r="C1" s="155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6"/>
      <c r="B2" s="155"/>
      <c r="C2" s="155"/>
      <c r="M2" s="135" t="s">
        <v>0</v>
      </c>
      <c r="N2" s="135" t="s">
        <v>79</v>
      </c>
      <c r="O2" s="13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36928</v>
      </c>
      <c r="N3" s="57">
        <v>30</v>
      </c>
      <c r="O3" s="58">
        <f t="shared" ref="O3:O66" si="0">IF($N3&gt;0,LN($N3+$B$26))</f>
        <v>3.4011973816621555</v>
      </c>
      <c r="T3" s="69" t="s">
        <v>109</v>
      </c>
      <c r="U3" s="82">
        <f>$B$21</f>
        <v>46.396749388513626</v>
      </c>
      <c r="V3" s="82">
        <f t="shared" ref="V3:V10" si="1">U3</f>
        <v>46.396749388513626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37022</v>
      </c>
      <c r="N4" s="57">
        <v>24</v>
      </c>
      <c r="O4" s="58">
        <f t="shared" si="0"/>
        <v>3.1780538303479458</v>
      </c>
      <c r="T4" s="69" t="s">
        <v>111</v>
      </c>
      <c r="U4" s="82">
        <f>$B$31</f>
        <v>45.308689121073883</v>
      </c>
      <c r="V4" s="82">
        <f t="shared" si="1"/>
        <v>45.308689121073883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37201</v>
      </c>
      <c r="N5" s="57">
        <v>54</v>
      </c>
      <c r="O5" s="58">
        <f t="shared" si="0"/>
        <v>3.9889840465642745</v>
      </c>
      <c r="T5" s="69" t="s">
        <v>110</v>
      </c>
      <c r="U5" s="82">
        <f>$B$22</f>
        <v>50.770397124010373</v>
      </c>
      <c r="V5" s="82">
        <f t="shared" si="1"/>
        <v>50.770397124010373</v>
      </c>
    </row>
    <row r="6" spans="1:24" ht="15" customHeight="1" x14ac:dyDescent="0.2">
      <c r="A6" s="107" t="s">
        <v>18</v>
      </c>
      <c r="B6" s="95" t="s">
        <v>93</v>
      </c>
      <c r="C6" s="18"/>
      <c r="M6" s="56">
        <v>37292</v>
      </c>
      <c r="N6" s="57">
        <v>50</v>
      </c>
      <c r="O6" s="58">
        <f t="shared" si="0"/>
        <v>3.912023005428146</v>
      </c>
      <c r="T6" s="69" t="s">
        <v>29</v>
      </c>
      <c r="U6" s="82">
        <f>$B$32</f>
        <v>55.160049327906563</v>
      </c>
      <c r="V6" s="82">
        <f t="shared" si="1"/>
        <v>55.160049327906563</v>
      </c>
    </row>
    <row r="7" spans="1:24" ht="15" customHeight="1" x14ac:dyDescent="0.2">
      <c r="D7" s="4"/>
      <c r="F7" s="5"/>
      <c r="M7" s="56">
        <v>37369</v>
      </c>
      <c r="N7" s="57">
        <v>30</v>
      </c>
      <c r="O7" s="58">
        <f t="shared" si="0"/>
        <v>3.4011973816621555</v>
      </c>
      <c r="T7" s="69" t="s">
        <v>31</v>
      </c>
      <c r="U7" s="82">
        <f>$C$21</f>
        <v>-0.3967493885136264</v>
      </c>
      <c r="V7" s="82">
        <f t="shared" si="1"/>
        <v>-0.3967493885136264</v>
      </c>
    </row>
    <row r="8" spans="1:24" ht="15" customHeight="1" x14ac:dyDescent="0.25">
      <c r="A8" s="140" t="s">
        <v>12</v>
      </c>
      <c r="B8" s="140"/>
      <c r="C8" s="140"/>
      <c r="D8" s="4"/>
      <c r="M8" s="56">
        <v>37466</v>
      </c>
      <c r="N8" s="57">
        <v>31</v>
      </c>
      <c r="O8" s="58">
        <f t="shared" si="0"/>
        <v>3.4339872044851463</v>
      </c>
      <c r="T8" s="69" t="s">
        <v>32</v>
      </c>
      <c r="U8" s="82">
        <f>$C$31</f>
        <v>2.0790394708276079</v>
      </c>
      <c r="V8" s="82">
        <f t="shared" si="1"/>
        <v>2.0790394708276079</v>
      </c>
    </row>
    <row r="9" spans="1:24" ht="15" customHeight="1" x14ac:dyDescent="0.2">
      <c r="A9" s="101" t="s">
        <v>11</v>
      </c>
      <c r="B9" s="59">
        <f>COUNT($M$3:$M252)</f>
        <v>21</v>
      </c>
      <c r="C9" s="60"/>
      <c r="D9" s="4"/>
      <c r="M9" s="56">
        <v>37565</v>
      </c>
      <c r="N9" s="57">
        <v>22</v>
      </c>
      <c r="O9" s="58">
        <f t="shared" si="0"/>
        <v>3.0910424533583161</v>
      </c>
      <c r="T9" s="69" t="s">
        <v>112</v>
      </c>
      <c r="U9" s="82">
        <f>$C$22</f>
        <v>-4.7703971240103726</v>
      </c>
      <c r="V9" s="82">
        <f t="shared" si="1"/>
        <v>-4.7703971240103726</v>
      </c>
    </row>
    <row r="10" spans="1:24" ht="15" customHeight="1" x14ac:dyDescent="0.2">
      <c r="A10" s="102" t="s">
        <v>7</v>
      </c>
      <c r="B10" s="61">
        <f>MIN($N$3:$N$252)</f>
        <v>10</v>
      </c>
      <c r="C10" s="60"/>
      <c r="D10" s="4"/>
      <c r="M10" s="56">
        <v>37656</v>
      </c>
      <c r="N10" s="57">
        <v>20</v>
      </c>
      <c r="O10" s="58">
        <f t="shared" si="0"/>
        <v>2.9957322735539909</v>
      </c>
      <c r="T10" s="69" t="s">
        <v>113</v>
      </c>
      <c r="U10" s="82">
        <f>$C$32</f>
        <v>1.9027537239312089</v>
      </c>
      <c r="V10" s="82">
        <f t="shared" si="1"/>
        <v>1.9027537239312089</v>
      </c>
    </row>
    <row r="11" spans="1:24" ht="15" customHeight="1" x14ac:dyDescent="0.2">
      <c r="A11" s="102" t="s">
        <v>8</v>
      </c>
      <c r="B11" s="61">
        <f>MAX($N$3:$N$252)</f>
        <v>54</v>
      </c>
      <c r="C11" s="60"/>
      <c r="D11" s="4"/>
      <c r="M11" s="56">
        <v>37768</v>
      </c>
      <c r="N11" s="57">
        <v>10</v>
      </c>
      <c r="O11" s="58">
        <f t="shared" si="0"/>
        <v>2.3025850929940459</v>
      </c>
      <c r="T11" s="69" t="s">
        <v>68</v>
      </c>
      <c r="U11" s="82">
        <f>$B$12</f>
        <v>20</v>
      </c>
      <c r="V11" s="82">
        <f>U11</f>
        <v>20</v>
      </c>
    </row>
    <row r="12" spans="1:24" ht="15" customHeight="1" x14ac:dyDescent="0.2">
      <c r="A12" s="102" t="s">
        <v>68</v>
      </c>
      <c r="B12" s="62">
        <f>MEDIAN($N$3:$N$252)</f>
        <v>20</v>
      </c>
      <c r="C12" s="50"/>
      <c r="D12" s="4"/>
      <c r="M12" s="56">
        <v>37846</v>
      </c>
      <c r="N12" s="57">
        <v>20</v>
      </c>
      <c r="O12" s="58">
        <f t="shared" si="0"/>
        <v>2.9957322735539909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37935</v>
      </c>
      <c r="N13" s="57">
        <v>10</v>
      </c>
      <c r="O13" s="58">
        <f t="shared" si="0"/>
        <v>2.3025850929940459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38020</v>
      </c>
      <c r="N14" s="57">
        <v>20</v>
      </c>
      <c r="O14" s="58">
        <f t="shared" si="0"/>
        <v>2.9957322735539909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38111</v>
      </c>
      <c r="N15" s="57">
        <v>15</v>
      </c>
      <c r="O15" s="58">
        <f t="shared" si="0"/>
        <v>2.7080502011022101</v>
      </c>
      <c r="T15" s="69">
        <v>1</v>
      </c>
      <c r="U15" s="77">
        <f t="shared" ref="U15:U39" si="3">$B$36+T15*$B$38</f>
        <v>2.2680000000000002</v>
      </c>
      <c r="V15" s="84">
        <f>FREQUENCY($N$3:$N$252,$U$15:$U$39)</f>
        <v>0</v>
      </c>
      <c r="W15" s="79">
        <f t="shared" ref="W15:W39" si="4">(U15+U14)/2</f>
        <v>1.1340000000000001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23</v>
      </c>
      <c r="C16" s="60"/>
      <c r="M16" s="56">
        <v>38313</v>
      </c>
      <c r="N16" s="57">
        <v>10</v>
      </c>
      <c r="O16" s="58">
        <f t="shared" si="0"/>
        <v>2.3025850929940459</v>
      </c>
      <c r="T16" s="69">
        <v>2</v>
      </c>
      <c r="U16" s="77">
        <f t="shared" si="3"/>
        <v>4.5360000000000005</v>
      </c>
      <c r="V16" s="84">
        <f t="array" ref="V16:V40">FREQUENCY($N$3:$N$252,$U$15:$U$39)</f>
        <v>0</v>
      </c>
      <c r="W16" s="79">
        <f t="shared" si="4"/>
        <v>3.4020000000000001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11.937336386313323</v>
      </c>
      <c r="C17" s="60"/>
      <c r="D17" s="4"/>
      <c r="M17" s="56">
        <v>38384</v>
      </c>
      <c r="N17" s="57">
        <v>20</v>
      </c>
      <c r="O17" s="58">
        <f t="shared" si="0"/>
        <v>2.9957322735539909</v>
      </c>
      <c r="T17" s="69">
        <v>3</v>
      </c>
      <c r="U17" s="77">
        <f t="shared" si="3"/>
        <v>6.8040000000000003</v>
      </c>
      <c r="V17" s="84">
        <v>0</v>
      </c>
      <c r="W17" s="79">
        <f t="shared" si="4"/>
        <v>5.67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0.26338450718715467</v>
      </c>
      <c r="C18" s="114" t="s">
        <v>45</v>
      </c>
      <c r="D18" s="4"/>
      <c r="J18" s="6"/>
      <c r="M18" s="56">
        <v>38481</v>
      </c>
      <c r="N18" s="57">
        <v>14</v>
      </c>
      <c r="O18" s="58">
        <f t="shared" si="0"/>
        <v>2.6390573296152584</v>
      </c>
      <c r="T18" s="69">
        <v>4</v>
      </c>
      <c r="U18" s="77">
        <f t="shared" si="3"/>
        <v>9.072000000000001</v>
      </c>
      <c r="V18" s="84">
        <v>0</v>
      </c>
      <c r="W18" s="79">
        <f t="shared" si="4"/>
        <v>7.9380000000000006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mäßig</v>
      </c>
      <c r="C19" s="64"/>
      <c r="D19" s="4"/>
      <c r="M19" s="56">
        <v>38560</v>
      </c>
      <c r="N19" s="57">
        <v>34</v>
      </c>
      <c r="O19" s="58">
        <f t="shared" si="0"/>
        <v>3.5263605246161616</v>
      </c>
      <c r="T19" s="69">
        <v>5</v>
      </c>
      <c r="U19" s="77">
        <f t="shared" si="3"/>
        <v>11.340000000000002</v>
      </c>
      <c r="V19" s="84">
        <v>0</v>
      </c>
      <c r="W19" s="79">
        <f t="shared" si="4"/>
        <v>10.206000000000001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38659</v>
      </c>
      <c r="N20" s="57">
        <v>12</v>
      </c>
      <c r="O20" s="58">
        <f t="shared" si="0"/>
        <v>2.4849066497880004</v>
      </c>
      <c r="T20" s="69">
        <v>6</v>
      </c>
      <c r="U20" s="77">
        <f t="shared" si="3"/>
        <v>13.608000000000001</v>
      </c>
      <c r="V20" s="84">
        <v>3</v>
      </c>
      <c r="W20" s="79">
        <f t="shared" si="4"/>
        <v>12.474</v>
      </c>
      <c r="X20" s="80">
        <f t="shared" si="2"/>
        <v>6.2988158226253449E-2</v>
      </c>
    </row>
    <row r="21" spans="1:24" ht="15" customHeight="1" x14ac:dyDescent="0.2">
      <c r="A21" s="103" t="s">
        <v>76</v>
      </c>
      <c r="B21" s="62">
        <f>NORMINV(0.975,$B$16,$B$17)</f>
        <v>46.396749388513626</v>
      </c>
      <c r="C21" s="62">
        <f>NORMINV(0.025,$B$16,$B$17)</f>
        <v>-0.3967493885136264</v>
      </c>
      <c r="D21" s="4"/>
      <c r="M21" s="56">
        <v>38749</v>
      </c>
      <c r="N21" s="57">
        <v>22</v>
      </c>
      <c r="O21" s="58">
        <f t="shared" si="0"/>
        <v>3.0910424533583161</v>
      </c>
      <c r="T21" s="69">
        <v>7</v>
      </c>
      <c r="U21" s="77">
        <f t="shared" si="3"/>
        <v>15.876000000000001</v>
      </c>
      <c r="V21" s="84">
        <v>1</v>
      </c>
      <c r="W21" s="79">
        <f t="shared" si="4"/>
        <v>14.742000000000001</v>
      </c>
      <c r="X21" s="80">
        <f t="shared" si="2"/>
        <v>2.0996052742084485E-2</v>
      </c>
    </row>
    <row r="22" spans="1:24" ht="15" customHeight="1" x14ac:dyDescent="0.2">
      <c r="A22" s="104" t="s">
        <v>77</v>
      </c>
      <c r="B22" s="62">
        <f>NORMINV(0.99,$B$16,$B$17)</f>
        <v>50.770397124010373</v>
      </c>
      <c r="C22" s="62">
        <f>NORMINV(0.01,B16,B17)</f>
        <v>-4.7703971240103726</v>
      </c>
      <c r="M22" s="56">
        <v>38842</v>
      </c>
      <c r="N22" s="57">
        <v>19</v>
      </c>
      <c r="O22" s="58">
        <f t="shared" si="0"/>
        <v>2.9444389791664403</v>
      </c>
      <c r="T22" s="69">
        <v>8</v>
      </c>
      <c r="U22" s="77">
        <f t="shared" si="3"/>
        <v>18.144000000000002</v>
      </c>
      <c r="V22" s="84">
        <v>2</v>
      </c>
      <c r="W22" s="79">
        <f t="shared" si="4"/>
        <v>17.010000000000002</v>
      </c>
      <c r="X22" s="80">
        <f t="shared" si="2"/>
        <v>4.1992105484168971E-2</v>
      </c>
    </row>
    <row r="23" spans="1:24" ht="15" customHeight="1" x14ac:dyDescent="0.25">
      <c r="E23" s="144" t="s">
        <v>80</v>
      </c>
      <c r="F23" s="144"/>
      <c r="G23" s="144"/>
      <c r="M23" s="56">
        <v>39021</v>
      </c>
      <c r="N23" s="57">
        <v>16</v>
      </c>
      <c r="O23" s="58">
        <f t="shared" si="0"/>
        <v>2.7725887222397811</v>
      </c>
      <c r="T23" s="69">
        <v>9</v>
      </c>
      <c r="U23" s="77">
        <f t="shared" si="3"/>
        <v>20.412000000000003</v>
      </c>
      <c r="V23" s="84">
        <v>1</v>
      </c>
      <c r="W23" s="79">
        <f t="shared" si="4"/>
        <v>19.278000000000002</v>
      </c>
      <c r="X23" s="80">
        <f t="shared" si="2"/>
        <v>2.0996052742084485E-2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22.680000000000003</v>
      </c>
      <c r="V24" s="84">
        <v>5</v>
      </c>
      <c r="W24" s="79">
        <f t="shared" si="4"/>
        <v>21.546000000000003</v>
      </c>
      <c r="X24" s="80">
        <f t="shared" si="2"/>
        <v>0.10498026371042243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>
        <f>MEDIAN($O$3:$O$252)</f>
        <v>2.9957322735539909</v>
      </c>
      <c r="T25" s="69">
        <v>11</v>
      </c>
      <c r="U25" s="77">
        <f t="shared" si="3"/>
        <v>24.948000000000004</v>
      </c>
      <c r="V25" s="84">
        <v>2</v>
      </c>
      <c r="W25" s="79">
        <f t="shared" si="4"/>
        <v>23.814000000000004</v>
      </c>
      <c r="X25" s="80">
        <f t="shared" si="2"/>
        <v>4.1992105484168971E-2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>
        <f>AVERAGE($O$3:$O$252)</f>
        <v>3.0220768826948765</v>
      </c>
      <c r="T26" s="69">
        <v>12</v>
      </c>
      <c r="U26" s="77">
        <f t="shared" si="3"/>
        <v>27.216000000000001</v>
      </c>
      <c r="V26" s="84">
        <v>1</v>
      </c>
      <c r="W26" s="79">
        <f t="shared" si="4"/>
        <v>26.082000000000001</v>
      </c>
      <c r="X26" s="80">
        <f t="shared" si="2"/>
        <v>2.0996052742084485E-2</v>
      </c>
    </row>
    <row r="27" spans="1:24" ht="15" customHeight="1" x14ac:dyDescent="0.2">
      <c r="A27" s="65" t="s">
        <v>17</v>
      </c>
      <c r="B27" s="62">
        <f>EXP($R$26)</f>
        <v>20.533893917894957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>
        <f>STDEV($O$3:$O$252)</f>
        <v>0.48115037791807785</v>
      </c>
      <c r="T27" s="69">
        <v>13</v>
      </c>
      <c r="U27" s="77">
        <f t="shared" si="3"/>
        <v>29.484000000000002</v>
      </c>
      <c r="V27" s="84">
        <v>0</v>
      </c>
      <c r="W27" s="79">
        <f t="shared" si="4"/>
        <v>28.35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5.7383539293777749E-2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>
        <f>NORMINV(0.025,$R$26,$R$27)</f>
        <v>2.0790394708276079</v>
      </c>
      <c r="T28" s="69">
        <v>14</v>
      </c>
      <c r="U28" s="77">
        <f t="shared" si="3"/>
        <v>31.752000000000002</v>
      </c>
      <c r="V28" s="84">
        <v>0</v>
      </c>
      <c r="W28" s="79">
        <f t="shared" si="4"/>
        <v>30.618000000000002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/>
      <c r="N29" s="57"/>
      <c r="O29" s="58" t="b">
        <f t="shared" si="0"/>
        <v>0</v>
      </c>
      <c r="Q29" s="75" t="s">
        <v>107</v>
      </c>
      <c r="R29" s="75">
        <f>NORMINV(0.01,$R$26,$R$27)</f>
        <v>1.9027537239312089</v>
      </c>
      <c r="T29" s="69">
        <v>15</v>
      </c>
      <c r="U29" s="77">
        <f t="shared" si="3"/>
        <v>34.020000000000003</v>
      </c>
      <c r="V29" s="84">
        <v>3</v>
      </c>
      <c r="W29" s="79">
        <f t="shared" si="4"/>
        <v>32.886000000000003</v>
      </c>
      <c r="X29" s="80">
        <f t="shared" si="2"/>
        <v>6.2988158226253449E-2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>
        <f>NORMINV(0.95,$R$26,$R$27)</f>
        <v>3.8134988269224981</v>
      </c>
      <c r="T30" s="69">
        <v>16</v>
      </c>
      <c r="U30" s="77">
        <f t="shared" si="3"/>
        <v>36.288000000000004</v>
      </c>
      <c r="V30" s="84">
        <v>1</v>
      </c>
      <c r="W30" s="79">
        <f t="shared" si="4"/>
        <v>35.154000000000003</v>
      </c>
      <c r="X30" s="80">
        <f t="shared" si="2"/>
        <v>2.0996052742084485E-2</v>
      </c>
    </row>
    <row r="31" spans="1:24" ht="15" customHeight="1" x14ac:dyDescent="0.2">
      <c r="A31" s="65" t="s">
        <v>98</v>
      </c>
      <c r="B31" s="62">
        <f>EXP($R30)-$B$26</f>
        <v>45.308689121073883</v>
      </c>
      <c r="C31" s="62">
        <f>NORMINV(0.025,$R$26,$R$27)</f>
        <v>2.0790394708276079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>
        <f>NORMINV(0.98,$R$26,$R$27)</f>
        <v>4.0102389471942184</v>
      </c>
      <c r="T31" s="69">
        <v>17</v>
      </c>
      <c r="U31" s="77">
        <f t="shared" si="3"/>
        <v>38.556000000000004</v>
      </c>
      <c r="V31" s="84">
        <v>0</v>
      </c>
      <c r="W31" s="79">
        <f t="shared" si="4"/>
        <v>37.422000000000004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55.160049327906563</v>
      </c>
      <c r="C32" s="62">
        <f>NORMINV(0.01,$R$26,$R$27)</f>
        <v>1.9027537239312089</v>
      </c>
      <c r="M32" s="56"/>
      <c r="N32" s="57"/>
      <c r="O32" s="58" t="b">
        <f t="shared" si="0"/>
        <v>0</v>
      </c>
      <c r="T32" s="69">
        <v>18</v>
      </c>
      <c r="U32" s="77">
        <f t="shared" si="3"/>
        <v>40.824000000000005</v>
      </c>
      <c r="V32" s="84">
        <v>0</v>
      </c>
      <c r="W32" s="79">
        <f t="shared" si="4"/>
        <v>39.690000000000005</v>
      </c>
      <c r="X32" s="80">
        <f t="shared" si="2"/>
        <v>0</v>
      </c>
    </row>
    <row r="33" spans="1:24" ht="15" customHeight="1" x14ac:dyDescent="0.2">
      <c r="M33" s="56"/>
      <c r="N33" s="57"/>
      <c r="O33" s="58" t="b">
        <f t="shared" si="0"/>
        <v>0</v>
      </c>
      <c r="T33" s="69">
        <v>19</v>
      </c>
      <c r="U33" s="77">
        <f t="shared" si="3"/>
        <v>43.092000000000006</v>
      </c>
      <c r="V33" s="84">
        <v>0</v>
      </c>
      <c r="W33" s="79">
        <f t="shared" si="4"/>
        <v>41.958000000000006</v>
      </c>
      <c r="X33" s="80">
        <f t="shared" si="2"/>
        <v>0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45.360000000000007</v>
      </c>
      <c r="V34" s="84">
        <v>0</v>
      </c>
      <c r="W34" s="79">
        <f t="shared" si="4"/>
        <v>44.226000000000006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47.628000000000007</v>
      </c>
      <c r="V35" s="84">
        <v>0</v>
      </c>
      <c r="W35" s="79">
        <f t="shared" si="4"/>
        <v>46.494000000000007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49.896000000000008</v>
      </c>
      <c r="V36" s="84">
        <v>0</v>
      </c>
      <c r="W36" s="79">
        <f t="shared" si="4"/>
        <v>48.762000000000008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56.7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52.164000000000009</v>
      </c>
      <c r="V37" s="84">
        <v>0</v>
      </c>
      <c r="W37" s="79">
        <f t="shared" si="4"/>
        <v>51.030000000000008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2.2680000000000002</v>
      </c>
      <c r="M38" s="56"/>
      <c r="N38" s="57"/>
      <c r="O38" s="58" t="b">
        <f t="shared" si="0"/>
        <v>0</v>
      </c>
      <c r="T38" s="69">
        <v>24</v>
      </c>
      <c r="U38" s="77">
        <f t="shared" si="3"/>
        <v>54.432000000000002</v>
      </c>
      <c r="V38" s="84">
        <v>1</v>
      </c>
      <c r="W38" s="79">
        <f t="shared" si="4"/>
        <v>53.298000000000002</v>
      </c>
      <c r="X38" s="80">
        <f t="shared" si="2"/>
        <v>2.0996052742084485E-2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56.7</v>
      </c>
      <c r="V39" s="84">
        <v>1</v>
      </c>
      <c r="W39" s="79">
        <f t="shared" si="4"/>
        <v>55.566000000000003</v>
      </c>
      <c r="X39" s="80">
        <f t="shared" si="2"/>
        <v>2.0996052742084485E-2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-2.2680000000000002E-2</v>
      </c>
      <c r="U46" s="28">
        <v>0</v>
      </c>
    </row>
    <row r="47" spans="1:24" ht="15" x14ac:dyDescent="0.2"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2.2680000000000002E-2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2.2453200000000004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2.29068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4.5133200000000002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4.5586800000000007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6.78132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6.8266800000000005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9.0493200000000016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9.0946800000000003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11.317320000000002</v>
      </c>
      <c r="U56" s="28">
        <f>$X$19</f>
        <v>0</v>
      </c>
    </row>
    <row r="57" spans="5:21" ht="15" x14ac:dyDescent="0.2">
      <c r="E57" s="70">
        <v>1</v>
      </c>
      <c r="F57" s="74">
        <f>$B$21</f>
        <v>46.396749388513626</v>
      </c>
      <c r="G57" s="74">
        <f>$C$21</f>
        <v>-0.3967493885136264</v>
      </c>
      <c r="H57" s="74">
        <f>$B$22</f>
        <v>50.770397124010373</v>
      </c>
      <c r="I57" s="74">
        <f>$C$22</f>
        <v>-4.7703971240103726</v>
      </c>
      <c r="J57" s="74">
        <f>$B$31</f>
        <v>45.308689121073883</v>
      </c>
      <c r="K57" s="74">
        <f>$B$32</f>
        <v>55.160049327906563</v>
      </c>
      <c r="M57" s="56"/>
      <c r="N57" s="57"/>
      <c r="O57" s="58" t="b">
        <f t="shared" si="0"/>
        <v>0</v>
      </c>
      <c r="T57" s="85">
        <f>$U$19+$B$38/100</f>
        <v>11.362680000000001</v>
      </c>
      <c r="U57" s="28">
        <f>$X$20</f>
        <v>6.2988158226253449E-2</v>
      </c>
    </row>
    <row r="58" spans="5:21" ht="15" x14ac:dyDescent="0.2">
      <c r="E58" s="70">
        <v>73415</v>
      </c>
      <c r="F58" s="74">
        <f>$B$21</f>
        <v>46.396749388513626</v>
      </c>
      <c r="G58" s="74">
        <f>$C$21</f>
        <v>-0.3967493885136264</v>
      </c>
      <c r="H58" s="74">
        <f>$B$22</f>
        <v>50.770397124010373</v>
      </c>
      <c r="I58" s="74">
        <f>$C$22</f>
        <v>-4.7703971240103726</v>
      </c>
      <c r="J58" s="74">
        <f>$B$31</f>
        <v>45.308689121073883</v>
      </c>
      <c r="K58" s="74">
        <f>$B$32</f>
        <v>55.160049327906563</v>
      </c>
      <c r="M58" s="56"/>
      <c r="N58" s="57"/>
      <c r="O58" s="58" t="b">
        <f t="shared" si="0"/>
        <v>0</v>
      </c>
      <c r="T58" s="85">
        <f>$U$20-$B$38/100</f>
        <v>13.585320000000001</v>
      </c>
      <c r="U58" s="28">
        <f>$X$20</f>
        <v>6.2988158226253449E-2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13.63068</v>
      </c>
      <c r="U59" s="28">
        <f>$X$21</f>
        <v>2.0996052742084485E-2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15.853320000000002</v>
      </c>
      <c r="U60" s="28">
        <f>$X$21</f>
        <v>2.0996052742084485E-2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15.898680000000001</v>
      </c>
      <c r="U61" s="28">
        <f>$X$22</f>
        <v>4.1992105484168971E-2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18.121320000000001</v>
      </c>
      <c r="U62" s="28">
        <f>$X$22</f>
        <v>4.1992105484168971E-2</v>
      </c>
    </row>
    <row r="63" spans="5:21" ht="15" x14ac:dyDescent="0.2">
      <c r="E63" s="72">
        <v>-5</v>
      </c>
      <c r="F63" s="73">
        <f>$B$16+$E63*$B$17</f>
        <v>-36.686681931566611</v>
      </c>
      <c r="G63" s="73">
        <f>NORMDIST($F63,$B$16,$B$17,FALSE)</f>
        <v>1.2454365585599871E-7</v>
      </c>
      <c r="H63" s="73">
        <f>EXP($R$26+$E63*$R$27)</f>
        <v>1.8521090061505348</v>
      </c>
      <c r="I63" s="73">
        <f t="shared" ref="I63:I113" si="5">H63-$B$26</f>
        <v>1.8521090061505348</v>
      </c>
      <c r="J63" s="73">
        <f>1/$H63/SQRT(2*PI())/$R$27*EXP(-POWER(LN($H63)-$R$26,2)/2/POWER($R$27,2))</f>
        <v>1.6683288777023415E-6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18.166680000000003</v>
      </c>
      <c r="U63" s="28">
        <f>$X$23</f>
        <v>2.0996052742084485E-2</v>
      </c>
    </row>
    <row r="64" spans="5:21" ht="15" x14ac:dyDescent="0.2">
      <c r="E64" s="72">
        <v>-4.8</v>
      </c>
      <c r="F64" s="73">
        <f t="shared" ref="F64:F113" si="6">$B$16+$E64*$B$17</f>
        <v>-34.299214654303945</v>
      </c>
      <c r="G64" s="73">
        <f t="shared" ref="G64:G113" si="7">NORMDIST($F64,$B$16,$B$17,FALSE)</f>
        <v>3.3184112123822513E-7</v>
      </c>
      <c r="H64" s="73">
        <f t="shared" ref="H64:H113" si="8">EXP($R$26+$E64*$R$27)</f>
        <v>2.0391948910117152</v>
      </c>
      <c r="I64" s="73">
        <f t="shared" si="5"/>
        <v>2.0391948910117152</v>
      </c>
      <c r="J64" s="73">
        <f t="shared" ref="J64:J113" si="9">1/$H64/SQRT(2*PI())/$R$27*EXP(-POWER(LN($H64)-$R$26,2)/2/POWER($R$27,2))</f>
        <v>4.0373655101079917E-6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20.389320000000001</v>
      </c>
      <c r="U64" s="28">
        <f>$X$23</f>
        <v>2.0996052742084485E-2</v>
      </c>
    </row>
    <row r="65" spans="5:21" ht="15" x14ac:dyDescent="0.2">
      <c r="E65" s="72">
        <v>-4.5999999999999996</v>
      </c>
      <c r="F65" s="73">
        <f t="shared" si="6"/>
        <v>-31.91174737704128</v>
      </c>
      <c r="G65" s="73">
        <f t="shared" si="7"/>
        <v>8.4950710420740832E-7</v>
      </c>
      <c r="H65" s="73">
        <f t="shared" si="8"/>
        <v>2.2451787609256426</v>
      </c>
      <c r="I65" s="73">
        <f t="shared" si="5"/>
        <v>2.2451787609256426</v>
      </c>
      <c r="J65" s="73">
        <f t="shared" si="9"/>
        <v>9.3873430904705337E-6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20.434680000000004</v>
      </c>
      <c r="U65" s="28">
        <f>$X$24</f>
        <v>0.10498026371042243</v>
      </c>
    </row>
    <row r="66" spans="5:21" ht="15" x14ac:dyDescent="0.2">
      <c r="E66" s="72">
        <v>-4.4000000000000004</v>
      </c>
      <c r="F66" s="73">
        <f t="shared" si="6"/>
        <v>-29.524280099778622</v>
      </c>
      <c r="G66" s="73">
        <f t="shared" si="7"/>
        <v>2.0894503164584662E-6</v>
      </c>
      <c r="H66" s="73">
        <f t="shared" si="8"/>
        <v>2.4719695457900408</v>
      </c>
      <c r="I66" s="73">
        <f t="shared" si="5"/>
        <v>2.4719695457900408</v>
      </c>
      <c r="J66" s="73">
        <f t="shared" si="9"/>
        <v>2.097082585099175E-5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22.657320000000002</v>
      </c>
      <c r="U66" s="28">
        <f>$X$24</f>
        <v>0.10498026371042243</v>
      </c>
    </row>
    <row r="67" spans="5:21" ht="15" x14ac:dyDescent="0.2">
      <c r="E67" s="72">
        <v>-4.2</v>
      </c>
      <c r="F67" s="73">
        <f t="shared" si="6"/>
        <v>-27.136812822515957</v>
      </c>
      <c r="G67" s="73">
        <f t="shared" si="7"/>
        <v>4.9377068593057871E-6</v>
      </c>
      <c r="H67" s="73">
        <f t="shared" si="8"/>
        <v>2.721669000999337</v>
      </c>
      <c r="I67" s="73">
        <f t="shared" si="5"/>
        <v>2.721669000999337</v>
      </c>
      <c r="J67" s="73">
        <f t="shared" si="9"/>
        <v>4.5010786050175428E-5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22.702680000000004</v>
      </c>
      <c r="U67" s="28">
        <f>$X$25</f>
        <v>4.1992105484168971E-2</v>
      </c>
    </row>
    <row r="68" spans="5:21" ht="15" x14ac:dyDescent="0.2">
      <c r="E68" s="72">
        <v>-4</v>
      </c>
      <c r="F68" s="73">
        <f t="shared" si="6"/>
        <v>-24.749345545253291</v>
      </c>
      <c r="G68" s="73">
        <f t="shared" si="7"/>
        <v>1.1211062621836439E-5</v>
      </c>
      <c r="H68" s="73">
        <f t="shared" si="8"/>
        <v>2.9965911852013947</v>
      </c>
      <c r="I68" s="73">
        <f t="shared" si="5"/>
        <v>2.9965911852013947</v>
      </c>
      <c r="J68" s="73">
        <f t="shared" si="9"/>
        <v>9.2820922789144721E-5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24.925320000000003</v>
      </c>
      <c r="U68" s="28">
        <f>$X$25</f>
        <v>4.1992105484168971E-2</v>
      </c>
    </row>
    <row r="69" spans="5:21" ht="15" x14ac:dyDescent="0.2">
      <c r="E69" s="72">
        <v>-3.8</v>
      </c>
      <c r="F69" s="73">
        <f t="shared" si="6"/>
        <v>-22.361878267990626</v>
      </c>
      <c r="G69" s="73">
        <f t="shared" si="7"/>
        <v>2.4456622176299746E-5</v>
      </c>
      <c r="H69" s="73">
        <f t="shared" si="8"/>
        <v>3.2992839055482501</v>
      </c>
      <c r="I69" s="73">
        <f t="shared" si="5"/>
        <v>3.2992839055482501</v>
      </c>
      <c r="J69" s="73">
        <f t="shared" si="9"/>
        <v>1.8390917100456191E-4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24.970680000000005</v>
      </c>
      <c r="U69" s="28">
        <f>$X$26</f>
        <v>2.0996052742084485E-2</v>
      </c>
    </row>
    <row r="70" spans="5:21" ht="15" x14ac:dyDescent="0.2">
      <c r="E70" s="72">
        <v>-3.6</v>
      </c>
      <c r="F70" s="73">
        <f t="shared" si="6"/>
        <v>-19.974410990727961</v>
      </c>
      <c r="G70" s="73">
        <f t="shared" si="7"/>
        <v>5.1259502983877047E-5</v>
      </c>
      <c r="H70" s="73">
        <f t="shared" si="8"/>
        <v>3.6325523291820456</v>
      </c>
      <c r="I70" s="73">
        <f t="shared" si="5"/>
        <v>3.6325523291820456</v>
      </c>
      <c r="J70" s="73">
        <f t="shared" si="9"/>
        <v>3.500975830375694E-4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27.19332</v>
      </c>
      <c r="U70" s="28">
        <f>$X$26</f>
        <v>2.0996052742084485E-2</v>
      </c>
    </row>
    <row r="71" spans="5:21" ht="15" x14ac:dyDescent="0.2">
      <c r="E71" s="72">
        <v>-3.4</v>
      </c>
      <c r="F71" s="73">
        <f t="shared" si="6"/>
        <v>-17.586943713465296</v>
      </c>
      <c r="G71" s="73">
        <f t="shared" si="7"/>
        <v>1.0322396291737351E-4</v>
      </c>
      <c r="H71" s="73">
        <f t="shared" si="8"/>
        <v>3.9994849797726602</v>
      </c>
      <c r="I71" s="73">
        <f t="shared" si="5"/>
        <v>3.9994849797726602</v>
      </c>
      <c r="J71" s="73">
        <f t="shared" si="9"/>
        <v>6.4032883476302185E-4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27.238680000000002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-15.199476436202637</v>
      </c>
      <c r="G72" s="73">
        <f t="shared" si="7"/>
        <v>1.9971693217913351E-4</v>
      </c>
      <c r="H72" s="73">
        <f t="shared" si="8"/>
        <v>4.4034823600267208</v>
      </c>
      <c r="I72" s="73">
        <f t="shared" si="5"/>
        <v>4.4034823600267208</v>
      </c>
      <c r="J72" s="73">
        <f t="shared" si="9"/>
        <v>1.1252401664405035E-3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29.461320000000001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-12.812009158939972</v>
      </c>
      <c r="G73" s="73">
        <f t="shared" si="7"/>
        <v>3.7125940565931504E-4</v>
      </c>
      <c r="H73" s="73">
        <f t="shared" si="8"/>
        <v>4.8482884654235425</v>
      </c>
      <c r="I73" s="73">
        <f t="shared" si="5"/>
        <v>4.8482884654235425</v>
      </c>
      <c r="J73" s="73">
        <f t="shared" si="9"/>
        <v>1.899833818822017E-3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29.506680000000003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-10.4245418816773</v>
      </c>
      <c r="G74" s="73">
        <f t="shared" si="7"/>
        <v>6.6308356628496951E-4</v>
      </c>
      <c r="H74" s="73">
        <f t="shared" si="8"/>
        <v>5.3380254812276204</v>
      </c>
      <c r="I74" s="73">
        <f t="shared" si="5"/>
        <v>5.3380254812276204</v>
      </c>
      <c r="J74" s="73">
        <f t="shared" si="9"/>
        <v>3.0818693447320837E-3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31.729320000000001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-8.0370746044146415</v>
      </c>
      <c r="G75" s="73">
        <f t="shared" si="7"/>
        <v>1.137855949947015E-3</v>
      </c>
      <c r="H75" s="73">
        <f t="shared" si="8"/>
        <v>5.8772319843279162</v>
      </c>
      <c r="I75" s="73">
        <f t="shared" si="5"/>
        <v>5.8772319843279162</v>
      </c>
      <c r="J75" s="73">
        <f t="shared" si="9"/>
        <v>4.8033148216046631E-3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31.774680000000004</v>
      </c>
      <c r="U75" s="28">
        <f>$X$29</f>
        <v>6.2988158226253449E-2</v>
      </c>
    </row>
    <row r="76" spans="5:21" ht="15" x14ac:dyDescent="0.2">
      <c r="E76" s="72">
        <v>-2.4</v>
      </c>
      <c r="F76" s="73">
        <f t="shared" si="6"/>
        <v>-5.6496073271519727</v>
      </c>
      <c r="G76" s="73">
        <f t="shared" si="7"/>
        <v>1.876007307670345E-3</v>
      </c>
      <c r="H76" s="73">
        <f t="shared" si="8"/>
        <v>6.4709050039347611</v>
      </c>
      <c r="I76" s="73">
        <f t="shared" si="5"/>
        <v>6.4709050039347611</v>
      </c>
      <c r="J76" s="73">
        <f t="shared" si="9"/>
        <v>7.1927688274078224E-3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33.997320000000002</v>
      </c>
      <c r="U76" s="28">
        <f>$X$29</f>
        <v>6.2988158226253449E-2</v>
      </c>
    </row>
    <row r="77" spans="5:21" ht="15" x14ac:dyDescent="0.2">
      <c r="E77" s="72">
        <v>-2.2000000000000002</v>
      </c>
      <c r="F77" s="73">
        <f t="shared" si="6"/>
        <v>-3.2621400498893109</v>
      </c>
      <c r="G77" s="73">
        <f t="shared" si="7"/>
        <v>2.9717343717401306E-3</v>
      </c>
      <c r="H77" s="73">
        <f t="shared" si="8"/>
        <v>7.1245463309265995</v>
      </c>
      <c r="I77" s="73">
        <f t="shared" si="5"/>
        <v>7.1245463309265995</v>
      </c>
      <c r="J77" s="73">
        <f t="shared" si="9"/>
        <v>1.0348546926028813E-2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34.042680000000004</v>
      </c>
      <c r="U77" s="28">
        <f>$X$30</f>
        <v>2.0996052742084485E-2</v>
      </c>
    </row>
    <row r="78" spans="5:21" ht="15" x14ac:dyDescent="0.2">
      <c r="E78" s="72">
        <v>-2</v>
      </c>
      <c r="F78" s="73">
        <f t="shared" si="6"/>
        <v>-0.87467277262664567</v>
      </c>
      <c r="G78" s="73">
        <f t="shared" si="7"/>
        <v>4.5228654672989747E-3</v>
      </c>
      <c r="H78" s="73">
        <f t="shared" si="8"/>
        <v>7.8442135050127586</v>
      </c>
      <c r="I78" s="73">
        <f t="shared" si="5"/>
        <v>7.8442135050127586</v>
      </c>
      <c r="J78" s="73">
        <f t="shared" si="9"/>
        <v>1.4305098907245916E-2</v>
      </c>
      <c r="K78" s="73">
        <f t="shared" si="10"/>
        <v>2.2750131948179184E-2</v>
      </c>
      <c r="L78" s="16"/>
      <c r="M78" s="56"/>
      <c r="N78" s="57"/>
      <c r="O78" s="58" t="b">
        <f t="shared" si="11"/>
        <v>0</v>
      </c>
      <c r="T78" s="85">
        <f>$U$30-$B$38/100</f>
        <v>36.265320000000003</v>
      </c>
      <c r="U78" s="28">
        <f>$X$30</f>
        <v>2.0996052742084485E-2</v>
      </c>
    </row>
    <row r="79" spans="5:21" ht="15" x14ac:dyDescent="0.2">
      <c r="E79" s="72">
        <v>-1.8</v>
      </c>
      <c r="F79" s="73">
        <f t="shared" si="6"/>
        <v>1.5127945046360196</v>
      </c>
      <c r="G79" s="73">
        <f t="shared" si="7"/>
        <v>6.6137164729155118E-3</v>
      </c>
      <c r="H79" s="73">
        <f t="shared" si="8"/>
        <v>8.6365759522293537</v>
      </c>
      <c r="I79" s="73">
        <f t="shared" si="5"/>
        <v>8.6365759522293537</v>
      </c>
      <c r="J79" s="73">
        <f t="shared" si="9"/>
        <v>1.8998992758821942E-2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36.310680000000005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3.9002617818986813</v>
      </c>
      <c r="G80" s="73">
        <f t="shared" si="7"/>
        <v>9.291925023293398E-3</v>
      </c>
      <c r="H80" s="73">
        <f t="shared" si="8"/>
        <v>9.5089767930156608</v>
      </c>
      <c r="I80" s="73">
        <f t="shared" si="5"/>
        <v>9.5089767930156608</v>
      </c>
      <c r="J80" s="73">
        <f t="shared" si="9"/>
        <v>2.4243678172612013E-2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38.533320000000003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6.2877290591613502</v>
      </c>
      <c r="G81" s="73">
        <f t="shared" si="7"/>
        <v>1.2542786832028455E-2</v>
      </c>
      <c r="H81" s="73">
        <f t="shared" si="8"/>
        <v>10.469500893669579</v>
      </c>
      <c r="I81" s="73">
        <f t="shared" si="5"/>
        <v>10.469500893669579</v>
      </c>
      <c r="J81" s="73">
        <f t="shared" si="9"/>
        <v>2.972313842088754E-2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38.578680000000006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8.6751963364240137</v>
      </c>
      <c r="G82" s="73">
        <f t="shared" si="7"/>
        <v>1.6267117613092963E-2</v>
      </c>
      <c r="H82" s="73">
        <f t="shared" si="8"/>
        <v>11.527049791840584</v>
      </c>
      <c r="I82" s="73">
        <f t="shared" si="5"/>
        <v>11.527049791840584</v>
      </c>
      <c r="J82" s="73">
        <f t="shared" si="9"/>
        <v>3.5012170804588925E-2</v>
      </c>
      <c r="K82" s="73">
        <f t="shared" si="10"/>
        <v>0.1150696702217083</v>
      </c>
      <c r="L82" s="14"/>
      <c r="M82" s="56"/>
      <c r="N82" s="57"/>
      <c r="O82" s="58" t="b">
        <f t="shared" si="11"/>
        <v>0</v>
      </c>
      <c r="T82" s="85">
        <f>$U$32-$B$38/100</f>
        <v>40.801320000000004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11.062663613686677</v>
      </c>
      <c r="G83" s="73">
        <f t="shared" si="7"/>
        <v>2.027007673140328E-2</v>
      </c>
      <c r="H83" s="73">
        <f t="shared" si="8"/>
        <v>12.691424190422879</v>
      </c>
      <c r="I83" s="73">
        <f t="shared" si="5"/>
        <v>12.691424190422879</v>
      </c>
      <c r="J83" s="73">
        <f t="shared" si="9"/>
        <v>3.9625215185562571E-2</v>
      </c>
      <c r="K83" s="73">
        <f t="shared" si="10"/>
        <v>0.15865525393145707</v>
      </c>
      <c r="L83" s="14"/>
      <c r="M83" s="56"/>
      <c r="N83" s="57"/>
      <c r="O83" s="58" t="b">
        <f t="shared" si="11"/>
        <v>0</v>
      </c>
      <c r="T83" s="85">
        <f>$U$32+$B$38/100</f>
        <v>40.846680000000006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13.450130890949341</v>
      </c>
      <c r="G84" s="73">
        <f t="shared" si="7"/>
        <v>2.4267687814647387E-2</v>
      </c>
      <c r="H84" s="73">
        <f t="shared" si="8"/>
        <v>13.97341478435062</v>
      </c>
      <c r="I84" s="73">
        <f t="shared" si="5"/>
        <v>13.97341478435062</v>
      </c>
      <c r="J84" s="73">
        <f t="shared" si="9"/>
        <v>4.3087614410673922E-2</v>
      </c>
      <c r="K84" s="73">
        <f t="shared" si="10"/>
        <v>0.21185539858339653</v>
      </c>
      <c r="M84" s="56"/>
      <c r="N84" s="57"/>
      <c r="O84" s="58" t="b">
        <f t="shared" si="11"/>
        <v>0</v>
      </c>
      <c r="T84" s="85">
        <f>$U$33-$B$38/100</f>
        <v>43.069320000000005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15.837598168212008</v>
      </c>
      <c r="G85" s="73">
        <f t="shared" si="7"/>
        <v>2.79144854520357E-2</v>
      </c>
      <c r="H85" s="73">
        <f t="shared" si="8"/>
        <v>15.384902262021283</v>
      </c>
      <c r="I85" s="73">
        <f t="shared" si="5"/>
        <v>15.384902262021283</v>
      </c>
      <c r="J85" s="73">
        <f t="shared" si="9"/>
        <v>4.50154386285447E-2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43.114680000000007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18.225065445474669</v>
      </c>
      <c r="G86" s="73">
        <f t="shared" si="7"/>
        <v>3.0850277514635604E-2</v>
      </c>
      <c r="H86" s="73">
        <f t="shared" si="8"/>
        <v>16.938967408097835</v>
      </c>
      <c r="I86" s="73">
        <f t="shared" si="5"/>
        <v>16.938967408097835</v>
      </c>
      <c r="J86" s="73">
        <f t="shared" si="9"/>
        <v>4.5185463719244104E-2</v>
      </c>
      <c r="K86" s="73">
        <f t="shared" si="10"/>
        <v>0.34457825838967571</v>
      </c>
      <c r="M86" s="56"/>
      <c r="N86" s="57"/>
      <c r="O86" s="58" t="b">
        <f t="shared" si="11"/>
        <v>0</v>
      </c>
      <c r="T86" s="85">
        <f>$U$34-$B$38/100</f>
        <v>45.337320000000005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20.612532722737335</v>
      </c>
      <c r="G87" s="73">
        <f t="shared" si="7"/>
        <v>3.2757952136106626E-2</v>
      </c>
      <c r="H87" s="73">
        <f t="shared" si="8"/>
        <v>18.650012328053862</v>
      </c>
      <c r="I87" s="73">
        <f t="shared" si="5"/>
        <v>18.650012328053862</v>
      </c>
      <c r="J87" s="73">
        <f t="shared" si="9"/>
        <v>4.3577691666983651E-2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45.382680000000008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23</v>
      </c>
      <c r="G88" s="73">
        <f t="shared" si="7"/>
        <v>3.3419706665788314E-2</v>
      </c>
      <c r="H88" s="73">
        <f t="shared" si="8"/>
        <v>20.533893917894957</v>
      </c>
      <c r="I88" s="73">
        <f t="shared" si="5"/>
        <v>20.533893917894957</v>
      </c>
      <c r="J88" s="73">
        <f t="shared" si="9"/>
        <v>4.0379219540092159E-2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47.605320000000006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25.387467277262665</v>
      </c>
      <c r="G89" s="73">
        <f t="shared" si="7"/>
        <v>3.2757952136106626E-2</v>
      </c>
      <c r="H89" s="73">
        <f t="shared" si="8"/>
        <v>22.608070815970443</v>
      </c>
      <c r="I89" s="73">
        <f t="shared" si="5"/>
        <v>22.608070815970443</v>
      </c>
      <c r="J89" s="73">
        <f t="shared" si="9"/>
        <v>3.5948422730667617E-2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47.650680000000008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27.774934554525331</v>
      </c>
      <c r="G90" s="73">
        <f t="shared" si="7"/>
        <v>3.0850277514635604E-2</v>
      </c>
      <c r="H90" s="73">
        <f t="shared" si="8"/>
        <v>24.891765198733076</v>
      </c>
      <c r="I90" s="73">
        <f t="shared" si="5"/>
        <v>24.891765198733076</v>
      </c>
      <c r="J90" s="73">
        <f t="shared" si="9"/>
        <v>3.0748928055091072E-2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49.873320000000007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30.162401831787992</v>
      </c>
      <c r="G91" s="73">
        <f t="shared" si="7"/>
        <v>2.79144854520357E-2</v>
      </c>
      <c r="H91" s="73">
        <f t="shared" si="8"/>
        <v>27.406140919868797</v>
      </c>
      <c r="I91" s="73">
        <f t="shared" si="5"/>
        <v>27.406140919868797</v>
      </c>
      <c r="J91" s="73">
        <f t="shared" si="9"/>
        <v>2.5270180344146503E-2</v>
      </c>
      <c r="K91" s="73">
        <f t="shared" si="10"/>
        <v>0.72574688224992656</v>
      </c>
      <c r="M91" s="56"/>
      <c r="N91" s="57"/>
      <c r="O91" s="58" t="b">
        <f t="shared" si="11"/>
        <v>0</v>
      </c>
      <c r="T91" s="85">
        <f>$U$36+$B$38/100</f>
        <v>49.918680000000009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32.549869109050775</v>
      </c>
      <c r="G92" s="73">
        <f t="shared" si="7"/>
        <v>2.4267687814647203E-2</v>
      </c>
      <c r="H92" s="73">
        <f t="shared" si="8"/>
        <v>30.174499643678907</v>
      </c>
      <c r="I92" s="73">
        <f t="shared" si="5"/>
        <v>30.174499643678907</v>
      </c>
      <c r="J92" s="73">
        <f t="shared" si="9"/>
        <v>1.9953308765291559E-2</v>
      </c>
      <c r="K92" s="73">
        <f t="shared" si="10"/>
        <v>0.78814460141660614</v>
      </c>
      <c r="M92" s="56"/>
      <c r="N92" s="57"/>
      <c r="O92" s="58" t="b">
        <f t="shared" si="11"/>
        <v>0</v>
      </c>
      <c r="T92" s="85">
        <f>$U$37-$B$38/100</f>
        <v>52.141320000000007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34.93733638631344</v>
      </c>
      <c r="G93" s="73">
        <f t="shared" si="7"/>
        <v>2.0270076731403082E-2</v>
      </c>
      <c r="H93" s="73">
        <f t="shared" si="8"/>
        <v>33.222496790355606</v>
      </c>
      <c r="I93" s="73">
        <f t="shared" si="5"/>
        <v>33.222496790355606</v>
      </c>
      <c r="J93" s="73">
        <f t="shared" si="9"/>
        <v>1.5137345568282097E-2</v>
      </c>
      <c r="K93" s="73">
        <f t="shared" si="10"/>
        <v>0.84134474606854526</v>
      </c>
      <c r="M93" s="56"/>
      <c r="N93" s="57"/>
      <c r="O93" s="58" t="b">
        <f t="shared" si="11"/>
        <v>0</v>
      </c>
      <c r="T93" s="85">
        <f>$U$37+$B$38/100</f>
        <v>52.18668000000001</v>
      </c>
      <c r="U93" s="28">
        <f>$X$38</f>
        <v>2.0996052742084485E-2</v>
      </c>
    </row>
    <row r="94" spans="5:21" ht="15" x14ac:dyDescent="0.2">
      <c r="E94" s="72">
        <v>1.2000000000000099</v>
      </c>
      <c r="F94" s="73">
        <f t="shared" si="6"/>
        <v>37.324803663576105</v>
      </c>
      <c r="G94" s="73">
        <f t="shared" si="7"/>
        <v>1.6267117613092769E-2</v>
      </c>
      <c r="H94" s="73">
        <f t="shared" si="8"/>
        <v>36.578379294398793</v>
      </c>
      <c r="I94" s="73">
        <f t="shared" si="5"/>
        <v>36.578379294398793</v>
      </c>
      <c r="J94" s="73">
        <f t="shared" si="9"/>
        <v>1.103348600922621E-2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54.409320000000001</v>
      </c>
      <c r="U94" s="28">
        <f>$X$38</f>
        <v>2.0996052742084485E-2</v>
      </c>
    </row>
    <row r="95" spans="5:21" ht="15" x14ac:dyDescent="0.2">
      <c r="E95" s="72">
        <v>1.4000000000000099</v>
      </c>
      <c r="F95" s="73">
        <f t="shared" si="6"/>
        <v>39.712270940838771</v>
      </c>
      <c r="G95" s="73">
        <f t="shared" si="7"/>
        <v>1.254278683202828E-2</v>
      </c>
      <c r="H95" s="73">
        <f t="shared" si="8"/>
        <v>40.273247379568225</v>
      </c>
      <c r="I95" s="73">
        <f t="shared" si="5"/>
        <v>40.273247379568225</v>
      </c>
      <c r="J95" s="73">
        <f t="shared" si="9"/>
        <v>7.7268768849768996E-3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54.454680000000003</v>
      </c>
      <c r="U95" s="28">
        <f>$X$39</f>
        <v>2.0996052742084485E-2</v>
      </c>
    </row>
    <row r="96" spans="5:21" ht="15" x14ac:dyDescent="0.2">
      <c r="E96" s="72">
        <v>1.6000000000000101</v>
      </c>
      <c r="F96" s="73">
        <f t="shared" si="6"/>
        <v>42.099738218101436</v>
      </c>
      <c r="G96" s="73">
        <f t="shared" si="7"/>
        <v>9.2919250232932488E-3</v>
      </c>
      <c r="H96" s="73">
        <f t="shared" si="8"/>
        <v>44.341342776339566</v>
      </c>
      <c r="I96" s="73">
        <f t="shared" si="5"/>
        <v>44.341342776339566</v>
      </c>
      <c r="J96" s="73">
        <f t="shared" si="9"/>
        <v>5.199043571673609E-3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56.677320000000002</v>
      </c>
      <c r="U96" s="28">
        <f>$X$39</f>
        <v>2.0996052742084485E-2</v>
      </c>
    </row>
    <row r="97" spans="5:21" ht="15" x14ac:dyDescent="0.2">
      <c r="E97" s="72">
        <v>1.80000000000001</v>
      </c>
      <c r="F97" s="73">
        <f t="shared" si="6"/>
        <v>44.487205495364101</v>
      </c>
      <c r="G97" s="73">
        <f t="shared" si="7"/>
        <v>6.6137164729153921E-3</v>
      </c>
      <c r="H97" s="73">
        <f t="shared" si="8"/>
        <v>48.82036605288323</v>
      </c>
      <c r="I97" s="73">
        <f t="shared" si="5"/>
        <v>48.82036605288323</v>
      </c>
      <c r="J97" s="73">
        <f t="shared" si="9"/>
        <v>3.3610203536711832E-3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56.722680000000004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46.874672772626766</v>
      </c>
      <c r="G98" s="73">
        <f t="shared" si="7"/>
        <v>4.5228654672988819E-3</v>
      </c>
      <c r="H98" s="73">
        <f t="shared" si="8"/>
        <v>53.751826000391326</v>
      </c>
      <c r="I98" s="73">
        <f t="shared" si="5"/>
        <v>53.751826000391326</v>
      </c>
      <c r="J98" s="73">
        <f t="shared" si="9"/>
        <v>2.0875988480455058E-3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49.262140049889425</v>
      </c>
      <c r="G99" s="73">
        <f t="shared" si="7"/>
        <v>2.9717343717400699E-3</v>
      </c>
      <c r="H99" s="73">
        <f t="shared" si="8"/>
        <v>59.18142431063788</v>
      </c>
      <c r="I99" s="73">
        <f t="shared" si="5"/>
        <v>59.18142431063788</v>
      </c>
      <c r="J99" s="73">
        <f t="shared" si="9"/>
        <v>1.2458081719233997E-3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51.649607327152097</v>
      </c>
      <c r="G100" s="73">
        <f t="shared" si="7"/>
        <v>1.8760073076702992E-3</v>
      </c>
      <c r="H100" s="73">
        <f t="shared" si="8"/>
        <v>65.159479110723879</v>
      </c>
      <c r="I100" s="73">
        <f t="shared" si="5"/>
        <v>65.159479110723879</v>
      </c>
      <c r="J100" s="73">
        <f t="shared" si="9"/>
        <v>7.1430472484789896E-4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54.037074604414755</v>
      </c>
      <c r="G101" s="73">
        <f t="shared" si="7"/>
        <v>1.1378559499469862E-3</v>
      </c>
      <c r="H101" s="73">
        <f t="shared" si="8"/>
        <v>71.741391280062203</v>
      </c>
      <c r="I101" s="73">
        <f t="shared" si="5"/>
        <v>71.741391280062203</v>
      </c>
      <c r="J101" s="73">
        <f t="shared" si="9"/>
        <v>3.9349941500473902E-4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56.42454188167742</v>
      </c>
      <c r="G102" s="73">
        <f t="shared" si="7"/>
        <v>6.6308356628495108E-4</v>
      </c>
      <c r="H102" s="73">
        <f t="shared" si="8"/>
        <v>78.988157871138142</v>
      </c>
      <c r="I102" s="73">
        <f t="shared" si="5"/>
        <v>78.988157871138142</v>
      </c>
      <c r="J102" s="73">
        <f t="shared" si="9"/>
        <v>2.0827295553381745E-4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58.812009158940093</v>
      </c>
      <c r="G103" s="73">
        <f t="shared" si="7"/>
        <v>3.7125940565930446E-4</v>
      </c>
      <c r="H103" s="73">
        <f t="shared" si="8"/>
        <v>86.966937392107369</v>
      </c>
      <c r="I103" s="73">
        <f t="shared" si="5"/>
        <v>86.966937392107369</v>
      </c>
      <c r="J103" s="73">
        <f t="shared" si="9"/>
        <v>1.0591315120695512E-4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61.199476436202751</v>
      </c>
      <c r="G104" s="73">
        <f t="shared" si="7"/>
        <v>1.9971693217912727E-4</v>
      </c>
      <c r="H104" s="73">
        <f t="shared" si="8"/>
        <v>95.751672189918153</v>
      </c>
      <c r="I104" s="73">
        <f t="shared" si="5"/>
        <v>95.751672189918153</v>
      </c>
      <c r="J104" s="73">
        <f t="shared" si="9"/>
        <v>5.1748184761579869E-5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63.586943713465416</v>
      </c>
      <c r="G105" s="73">
        <f t="shared" si="7"/>
        <v>1.0322396291736993E-4</v>
      </c>
      <c r="H105" s="73">
        <f t="shared" si="8"/>
        <v>105.42377370181613</v>
      </c>
      <c r="I105" s="73">
        <f t="shared" si="5"/>
        <v>105.42377370181613</v>
      </c>
      <c r="J105" s="73">
        <f t="shared" si="9"/>
        <v>2.4292296384623055E-5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65.974410990728074</v>
      </c>
      <c r="G106" s="73">
        <f t="shared" si="7"/>
        <v>5.1259502983875319E-5</v>
      </c>
      <c r="H106" s="73">
        <f t="shared" si="8"/>
        <v>116.07287692571458</v>
      </c>
      <c r="I106" s="73">
        <f t="shared" si="5"/>
        <v>116.07287692571458</v>
      </c>
      <c r="J106" s="73">
        <f t="shared" si="9"/>
        <v>1.095645963456209E-5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68.361878267990747</v>
      </c>
      <c r="G107" s="73">
        <f t="shared" si="7"/>
        <v>2.4456622176298811E-5</v>
      </c>
      <c r="H107" s="73">
        <f t="shared" si="8"/>
        <v>127.79767110139028</v>
      </c>
      <c r="I107" s="73">
        <f t="shared" si="5"/>
        <v>127.79767110139028</v>
      </c>
      <c r="J107" s="73">
        <f t="shared" si="9"/>
        <v>4.7478843921706357E-6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70.749345545253405</v>
      </c>
      <c r="G108" s="73">
        <f t="shared" si="7"/>
        <v>1.1211062621836E-5</v>
      </c>
      <c r="H108" s="73">
        <f t="shared" si="8"/>
        <v>140.7068143007395</v>
      </c>
      <c r="I108" s="73">
        <f t="shared" si="5"/>
        <v>140.7068143007395</v>
      </c>
      <c r="J108" s="73">
        <f t="shared" si="9"/>
        <v>1.9767795924773322E-6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73.136812822516077</v>
      </c>
      <c r="G109" s="73">
        <f t="shared" si="7"/>
        <v>4.9377068593055855E-6</v>
      </c>
      <c r="H109" s="73">
        <f t="shared" si="8"/>
        <v>154.91994040294685</v>
      </c>
      <c r="I109" s="73">
        <f t="shared" si="5"/>
        <v>154.91994040294685</v>
      </c>
      <c r="J109" s="73">
        <f t="shared" si="9"/>
        <v>7.9075980009246909E-7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75.524280099778736</v>
      </c>
      <c r="G110" s="73">
        <f t="shared" si="7"/>
        <v>2.0894503164583848E-6</v>
      </c>
      <c r="H110" s="73">
        <f t="shared" si="8"/>
        <v>170.56876778658255</v>
      </c>
      <c r="I110" s="73">
        <f t="shared" si="5"/>
        <v>170.56876778658255</v>
      </c>
      <c r="J110" s="73">
        <f t="shared" si="9"/>
        <v>3.0391990002869577E-7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77.911747377041408</v>
      </c>
      <c r="G111" s="73">
        <f t="shared" si="7"/>
        <v>8.4950710420736607E-7</v>
      </c>
      <c r="H111" s="73">
        <f t="shared" si="8"/>
        <v>187.79832001329447</v>
      </c>
      <c r="I111" s="73">
        <f t="shared" si="5"/>
        <v>187.79832001329447</v>
      </c>
      <c r="J111" s="73">
        <f t="shared" si="9"/>
        <v>1.1222817822200662E-7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80.299214654304066</v>
      </c>
      <c r="G112" s="73">
        <f t="shared" si="7"/>
        <v>3.3184112123820978E-7</v>
      </c>
      <c r="H112" s="73">
        <f t="shared" si="8"/>
        <v>206.76826981563033</v>
      </c>
      <c r="I112" s="73">
        <f t="shared" si="5"/>
        <v>206.76826981563033</v>
      </c>
      <c r="J112" s="73">
        <f t="shared" si="9"/>
        <v>3.9817401038853352E-8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82.686681931566611</v>
      </c>
      <c r="G113" s="73">
        <f t="shared" si="7"/>
        <v>1.2454365585599871E-7</v>
      </c>
      <c r="H113" s="73">
        <f t="shared" si="8"/>
        <v>227.65441884422953</v>
      </c>
      <c r="I113" s="73">
        <f t="shared" si="5"/>
        <v>227.65441884422953</v>
      </c>
      <c r="J113" s="73">
        <f t="shared" si="9"/>
        <v>1.357288365102096E-8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-0.52271574962237899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401.4181281492568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-9.9685151948278108E-3</v>
      </c>
      <c r="H120" s="69" t="s">
        <v>50</v>
      </c>
      <c r="I120" s="79">
        <f>IF($B$9&gt;3,INDEX(XX!$C$4:$C$150,$B$9))</f>
        <v>0.40439999999999998</v>
      </c>
      <c r="J120" s="79">
        <f>IF($B$9&gt;3,INDEX(XX!$D$4:$D$150,$B$9))</f>
        <v>0.5151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10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401.31844299730852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39021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12.436696731880772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(2018)0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topLeftCell="A4" zoomScale="75" workbookViewId="0">
      <selection activeCell="M49" sqref="M49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5.2851562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118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36769</v>
      </c>
      <c r="N3" s="57">
        <v>108</v>
      </c>
      <c r="O3" s="58">
        <f t="shared" ref="O3:O66" si="0">IF($N3&gt;0,LN($N3+$B$26))</f>
        <v>4.6821312271242199</v>
      </c>
      <c r="T3" s="69" t="s">
        <v>109</v>
      </c>
      <c r="U3" s="82">
        <f>$B$21</f>
        <v>108.09874053394955</v>
      </c>
      <c r="V3" s="82">
        <f t="shared" ref="V3:V10" si="1">U3</f>
        <v>108.09874053394955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36895</v>
      </c>
      <c r="N4" s="57">
        <v>99</v>
      </c>
      <c r="O4" s="58">
        <f t="shared" si="0"/>
        <v>4.5951198501345898</v>
      </c>
      <c r="T4" s="69" t="s">
        <v>111</v>
      </c>
      <c r="U4" s="82">
        <f>$B$31</f>
        <v>106.02729225725813</v>
      </c>
      <c r="V4" s="82">
        <f t="shared" si="1"/>
        <v>106.02729225725813</v>
      </c>
    </row>
    <row r="5" spans="1:24" ht="15" customHeight="1" x14ac:dyDescent="0.2">
      <c r="A5" s="97" t="s">
        <v>70</v>
      </c>
      <c r="B5" s="133" t="s">
        <v>122</v>
      </c>
      <c r="C5" s="18"/>
      <c r="D5" s="4"/>
      <c r="M5" s="56">
        <v>37333</v>
      </c>
      <c r="N5" s="57">
        <v>66</v>
      </c>
      <c r="O5" s="58">
        <f t="shared" si="0"/>
        <v>4.1896547420264252</v>
      </c>
      <c r="T5" s="69" t="s">
        <v>110</v>
      </c>
      <c r="U5" s="82">
        <f>$B$22</f>
        <v>111.84815712591325</v>
      </c>
      <c r="V5" s="82">
        <f t="shared" si="1"/>
        <v>111.84815712591325</v>
      </c>
    </row>
    <row r="6" spans="1:24" ht="15" customHeight="1" x14ac:dyDescent="0.2">
      <c r="A6" s="105" t="s">
        <v>18</v>
      </c>
      <c r="B6" s="20" t="s">
        <v>93</v>
      </c>
      <c r="C6" s="18"/>
      <c r="M6" s="56">
        <v>37540</v>
      </c>
      <c r="N6" s="57">
        <v>84</v>
      </c>
      <c r="O6" s="58">
        <f t="shared" si="0"/>
        <v>4.4308167988433134</v>
      </c>
      <c r="T6" s="69" t="s">
        <v>29</v>
      </c>
      <c r="U6" s="82">
        <f>$B$32</f>
        <v>111.22592689457034</v>
      </c>
      <c r="V6" s="82">
        <f t="shared" si="1"/>
        <v>111.22592689457034</v>
      </c>
    </row>
    <row r="7" spans="1:24" ht="15" customHeight="1" x14ac:dyDescent="0.2">
      <c r="D7" s="4"/>
      <c r="F7" s="5"/>
      <c r="M7" s="56">
        <v>37677</v>
      </c>
      <c r="N7" s="57">
        <v>81</v>
      </c>
      <c r="O7" s="58">
        <f t="shared" si="0"/>
        <v>4.3944491546724391</v>
      </c>
      <c r="T7" s="69" t="s">
        <v>31</v>
      </c>
      <c r="U7" s="82">
        <f>$C$21</f>
        <v>67.983868161702617</v>
      </c>
      <c r="V7" s="82">
        <f t="shared" si="1"/>
        <v>67.983868161702617</v>
      </c>
    </row>
    <row r="8" spans="1:24" ht="15" customHeight="1" x14ac:dyDescent="0.25">
      <c r="A8" s="140" t="s">
        <v>12</v>
      </c>
      <c r="B8" s="140"/>
      <c r="C8" s="140"/>
      <c r="D8" s="4"/>
      <c r="M8" s="56">
        <v>37852</v>
      </c>
      <c r="N8" s="57">
        <v>91</v>
      </c>
      <c r="O8" s="58">
        <f t="shared" si="0"/>
        <v>4.5108595065168497</v>
      </c>
      <c r="T8" s="69" t="s">
        <v>32</v>
      </c>
      <c r="U8" s="82">
        <f>$C$31</f>
        <v>4.2417016585863037</v>
      </c>
      <c r="V8" s="82">
        <f t="shared" si="1"/>
        <v>4.2417016585863037</v>
      </c>
    </row>
    <row r="9" spans="1:24" ht="15" customHeight="1" x14ac:dyDescent="0.2">
      <c r="A9" s="101" t="s">
        <v>11</v>
      </c>
      <c r="B9" s="59">
        <f>COUNT($M$3:$M252)</f>
        <v>46</v>
      </c>
      <c r="C9" s="60"/>
      <c r="D9" s="4"/>
      <c r="M9" s="56">
        <v>38055</v>
      </c>
      <c r="N9" s="57">
        <v>82</v>
      </c>
      <c r="O9" s="58">
        <f t="shared" si="0"/>
        <v>4.4067192472642533</v>
      </c>
      <c r="T9" s="69" t="s">
        <v>112</v>
      </c>
      <c r="U9" s="82">
        <f>$C$22</f>
        <v>64.234451569738923</v>
      </c>
      <c r="V9" s="82">
        <f t="shared" si="1"/>
        <v>64.234451569738923</v>
      </c>
    </row>
    <row r="10" spans="1:24" ht="15" customHeight="1" x14ac:dyDescent="0.2">
      <c r="A10" s="102" t="s">
        <v>7</v>
      </c>
      <c r="B10" s="61">
        <f>MIN($N$3:$N$252)</f>
        <v>66</v>
      </c>
      <c r="C10" s="60"/>
      <c r="D10" s="4"/>
      <c r="M10" s="56">
        <v>38264</v>
      </c>
      <c r="N10" s="57">
        <v>83</v>
      </c>
      <c r="O10" s="58">
        <f t="shared" si="0"/>
        <v>4.4188406077965983</v>
      </c>
      <c r="T10" s="69" t="s">
        <v>113</v>
      </c>
      <c r="U10" s="82">
        <f>$C$32</f>
        <v>4.1988112433507903</v>
      </c>
      <c r="V10" s="82">
        <f t="shared" si="1"/>
        <v>4.1988112433507903</v>
      </c>
    </row>
    <row r="11" spans="1:24" ht="15" customHeight="1" x14ac:dyDescent="0.2">
      <c r="A11" s="102" t="s">
        <v>8</v>
      </c>
      <c r="B11" s="61">
        <f>MAX($N$3:$N$252)</f>
        <v>108</v>
      </c>
      <c r="C11" s="60"/>
      <c r="D11" s="4"/>
      <c r="M11" s="56">
        <v>38421</v>
      </c>
      <c r="N11" s="57">
        <v>77</v>
      </c>
      <c r="O11" s="58">
        <f t="shared" si="0"/>
        <v>4.3438054218536841</v>
      </c>
      <c r="T11" s="69" t="s">
        <v>68</v>
      </c>
      <c r="U11" s="82">
        <f>$B$12</f>
        <v>86.2</v>
      </c>
      <c r="V11" s="82">
        <f>U11</f>
        <v>86.2</v>
      </c>
    </row>
    <row r="12" spans="1:24" ht="15" customHeight="1" x14ac:dyDescent="0.2">
      <c r="A12" s="102" t="s">
        <v>68</v>
      </c>
      <c r="B12" s="62">
        <f>MEDIAN($N$3:$N$252)</f>
        <v>86.2</v>
      </c>
      <c r="C12" s="50"/>
      <c r="D12" s="4"/>
      <c r="M12" s="56">
        <v>38631</v>
      </c>
      <c r="N12" s="57">
        <v>85</v>
      </c>
      <c r="O12" s="58">
        <f t="shared" si="0"/>
        <v>4.4426512564903167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38747</v>
      </c>
      <c r="N13" s="57">
        <v>86</v>
      </c>
      <c r="O13" s="58">
        <f t="shared" si="0"/>
        <v>4.4543472962535073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38944</v>
      </c>
      <c r="N14" s="57">
        <v>81</v>
      </c>
      <c r="O14" s="58">
        <f t="shared" si="0"/>
        <v>4.3944491546724391</v>
      </c>
      <c r="T14" s="11"/>
      <c r="U14" s="77">
        <f>$B$36</f>
        <v>62.699999999999996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39115</v>
      </c>
      <c r="N15" s="57">
        <v>82</v>
      </c>
      <c r="O15" s="58">
        <f t="shared" si="0"/>
        <v>4.4067192472642533</v>
      </c>
      <c r="T15" s="69">
        <v>1</v>
      </c>
      <c r="U15" s="77">
        <f t="shared" ref="U15:U39" si="3">$B$36+T15*$B$38</f>
        <v>64.727999999999994</v>
      </c>
      <c r="V15" s="84">
        <f>FREQUENCY($N$3:$N$252,$U$15:$U$39)</f>
        <v>0</v>
      </c>
      <c r="W15" s="79">
        <f t="shared" ref="W15:W39" si="4">(U15+U14)/2</f>
        <v>63.713999999999999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88.041304347826085</v>
      </c>
      <c r="C16" s="60"/>
      <c r="M16" s="56">
        <v>39318</v>
      </c>
      <c r="N16" s="57">
        <v>81</v>
      </c>
      <c r="O16" s="58">
        <f t="shared" si="0"/>
        <v>4.3944491546724391</v>
      </c>
      <c r="T16" s="69">
        <v>2</v>
      </c>
      <c r="U16" s="77">
        <f t="shared" si="3"/>
        <v>66.756</v>
      </c>
      <c r="V16" s="84">
        <f t="array" ref="V16:V40">FREQUENCY($N$3:$N$252,$U$15:$U$39)</f>
        <v>0</v>
      </c>
      <c r="W16" s="79">
        <f t="shared" si="4"/>
        <v>65.74199999999999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10.233573853567702</v>
      </c>
      <c r="C17" s="60"/>
      <c r="D17" s="4"/>
      <c r="M17" s="56">
        <v>39492</v>
      </c>
      <c r="N17" s="57">
        <v>82</v>
      </c>
      <c r="O17" s="58">
        <f t="shared" si="0"/>
        <v>4.4067192472642533</v>
      </c>
      <c r="T17" s="69">
        <v>3</v>
      </c>
      <c r="U17" s="77">
        <f t="shared" si="3"/>
        <v>68.783999999999992</v>
      </c>
      <c r="V17" s="84">
        <v>1</v>
      </c>
      <c r="W17" s="79">
        <f t="shared" si="4"/>
        <v>67.77</v>
      </c>
      <c r="X17" s="80">
        <f t="shared" si="2"/>
        <v>1.0719492324843493E-2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0.18857089106420222</v>
      </c>
      <c r="C18" s="114" t="s">
        <v>45</v>
      </c>
      <c r="D18" s="4"/>
      <c r="J18" s="6"/>
      <c r="M18" s="56">
        <v>39723</v>
      </c>
      <c r="N18" s="57">
        <v>75</v>
      </c>
      <c r="O18" s="58">
        <f t="shared" si="0"/>
        <v>4.3174881135363101</v>
      </c>
      <c r="T18" s="69">
        <v>4</v>
      </c>
      <c r="U18" s="77">
        <f t="shared" si="3"/>
        <v>70.811999999999998</v>
      </c>
      <c r="V18" s="84">
        <v>0</v>
      </c>
      <c r="W18" s="79">
        <f t="shared" si="4"/>
        <v>69.798000000000002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39842</v>
      </c>
      <c r="N19" s="57">
        <v>70</v>
      </c>
      <c r="O19" s="58">
        <f t="shared" si="0"/>
        <v>4.2484952420493594</v>
      </c>
      <c r="T19" s="69">
        <v>5</v>
      </c>
      <c r="U19" s="77">
        <f t="shared" si="3"/>
        <v>72.84</v>
      </c>
      <c r="V19" s="84">
        <v>1</v>
      </c>
      <c r="W19" s="79">
        <f t="shared" si="4"/>
        <v>71.825999999999993</v>
      </c>
      <c r="X19" s="80">
        <f t="shared" si="2"/>
        <v>1.0719492324843493E-2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40024</v>
      </c>
      <c r="N20" s="57">
        <v>75</v>
      </c>
      <c r="O20" s="58">
        <f t="shared" si="0"/>
        <v>4.3174881135363101</v>
      </c>
      <c r="T20" s="69">
        <v>6</v>
      </c>
      <c r="U20" s="77">
        <f t="shared" si="3"/>
        <v>74.867999999999995</v>
      </c>
      <c r="V20" s="84">
        <v>0</v>
      </c>
      <c r="W20" s="79">
        <f t="shared" si="4"/>
        <v>73.853999999999999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108.09874053394955</v>
      </c>
      <c r="C21" s="62">
        <f>NORMINV(0.025,$B$16,$B$17)</f>
        <v>67.983868161702617</v>
      </c>
      <c r="D21" s="4"/>
      <c r="M21" s="56">
        <v>40198</v>
      </c>
      <c r="N21" s="57">
        <v>82</v>
      </c>
      <c r="O21" s="58">
        <f t="shared" si="0"/>
        <v>4.4067192472642533</v>
      </c>
      <c r="T21" s="69">
        <v>7</v>
      </c>
      <c r="U21" s="77">
        <f t="shared" si="3"/>
        <v>76.896000000000001</v>
      </c>
      <c r="V21" s="84">
        <v>1</v>
      </c>
      <c r="W21" s="79">
        <f t="shared" si="4"/>
        <v>75.882000000000005</v>
      </c>
      <c r="X21" s="80">
        <f t="shared" si="2"/>
        <v>1.0719492324843493E-2</v>
      </c>
    </row>
    <row r="22" spans="1:24" ht="15" customHeight="1" x14ac:dyDescent="0.2">
      <c r="A22" s="104" t="s">
        <v>77</v>
      </c>
      <c r="B22" s="62">
        <f>NORMINV(0.99,$B$16,$B$17)</f>
        <v>111.84815712591325</v>
      </c>
      <c r="C22" s="62">
        <f>NORMINV(0.01,B16,B17)</f>
        <v>64.234451569738923</v>
      </c>
      <c r="M22" s="56">
        <v>40329</v>
      </c>
      <c r="N22" s="57">
        <v>82.6</v>
      </c>
      <c r="O22" s="58">
        <f t="shared" si="0"/>
        <v>4.4140096805269327</v>
      </c>
      <c r="T22" s="69">
        <v>8</v>
      </c>
      <c r="U22" s="77">
        <f t="shared" si="3"/>
        <v>78.924000000000007</v>
      </c>
      <c r="V22" s="84">
        <v>3</v>
      </c>
      <c r="W22" s="79">
        <f t="shared" si="4"/>
        <v>77.91</v>
      </c>
      <c r="X22" s="80">
        <f t="shared" si="2"/>
        <v>3.2158476974530475E-2</v>
      </c>
    </row>
    <row r="23" spans="1:24" ht="15" customHeight="1" x14ac:dyDescent="0.25">
      <c r="E23" s="144" t="s">
        <v>80</v>
      </c>
      <c r="F23" s="144"/>
      <c r="G23" s="144"/>
      <c r="M23" s="56">
        <v>40409</v>
      </c>
      <c r="N23" s="57">
        <v>81</v>
      </c>
      <c r="O23" s="58">
        <f t="shared" si="0"/>
        <v>4.3944491546724391</v>
      </c>
      <c r="T23" s="69">
        <v>9</v>
      </c>
      <c r="U23" s="77">
        <f t="shared" si="3"/>
        <v>80.951999999999998</v>
      </c>
      <c r="V23" s="84">
        <v>2</v>
      </c>
      <c r="W23" s="79">
        <f t="shared" si="4"/>
        <v>79.938000000000002</v>
      </c>
      <c r="X23" s="80">
        <f t="shared" si="2"/>
        <v>2.1438984649686986E-2</v>
      </c>
    </row>
    <row r="24" spans="1:24" ht="15" customHeight="1" x14ac:dyDescent="0.2">
      <c r="M24" s="56">
        <v>40487</v>
      </c>
      <c r="N24" s="57">
        <v>87.2</v>
      </c>
      <c r="O24" s="58">
        <f t="shared" si="0"/>
        <v>4.4682043309149337</v>
      </c>
      <c r="T24" s="69">
        <v>10</v>
      </c>
      <c r="U24" s="77">
        <f t="shared" si="3"/>
        <v>82.98</v>
      </c>
      <c r="V24" s="84">
        <v>0</v>
      </c>
      <c r="W24" s="79">
        <f t="shared" si="4"/>
        <v>81.966000000000008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40639</v>
      </c>
      <c r="N25" s="57">
        <v>100.9</v>
      </c>
      <c r="O25" s="58">
        <f t="shared" si="0"/>
        <v>4.6141299273595635</v>
      </c>
      <c r="Q25" s="75" t="s">
        <v>68</v>
      </c>
      <c r="R25" s="75">
        <f>MEDIAN($O$3:$O$252)</f>
        <v>4.4566674860317583</v>
      </c>
      <c r="T25" s="69">
        <v>11</v>
      </c>
      <c r="U25" s="77">
        <f t="shared" si="3"/>
        <v>85.00800000000001</v>
      </c>
      <c r="V25" s="84">
        <v>9</v>
      </c>
      <c r="W25" s="79">
        <f t="shared" si="4"/>
        <v>83.994</v>
      </c>
      <c r="X25" s="80">
        <f t="shared" si="2"/>
        <v>9.647543092359144E-2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40744</v>
      </c>
      <c r="N26" s="57">
        <v>85.6</v>
      </c>
      <c r="O26" s="58">
        <f t="shared" si="0"/>
        <v>4.4496852831476961</v>
      </c>
      <c r="Q26" s="75" t="s">
        <v>73</v>
      </c>
      <c r="R26" s="75">
        <f>AVERAGE($O$3:$O$252)</f>
        <v>4.4711431584789816</v>
      </c>
      <c r="T26" s="69">
        <v>12</v>
      </c>
      <c r="U26" s="77">
        <f t="shared" si="3"/>
        <v>87.036000000000001</v>
      </c>
      <c r="V26" s="84">
        <v>4</v>
      </c>
      <c r="W26" s="79">
        <f t="shared" si="4"/>
        <v>86.022000000000006</v>
      </c>
      <c r="X26" s="80">
        <f t="shared" si="2"/>
        <v>4.2877969299373972E-2</v>
      </c>
    </row>
    <row r="27" spans="1:24" ht="15" customHeight="1" x14ac:dyDescent="0.2">
      <c r="A27" s="65" t="s">
        <v>17</v>
      </c>
      <c r="B27" s="62">
        <f>EXP($R$26)</f>
        <v>87.456642693183085</v>
      </c>
      <c r="C27" s="62"/>
      <c r="E27" s="7" t="e">
        <f>STDEV(C50:C199)</f>
        <v>#DIV/0!</v>
      </c>
      <c r="F27" s="7" t="e">
        <f>NORMINV(0.025,$E26,$E27)</f>
        <v>#DIV/0!</v>
      </c>
      <c r="M27" s="56">
        <v>40799</v>
      </c>
      <c r="N27" s="57">
        <v>93.7</v>
      </c>
      <c r="O27" s="58">
        <f t="shared" si="0"/>
        <v>4.5400981892443761</v>
      </c>
      <c r="Q27" s="75" t="s">
        <v>104</v>
      </c>
      <c r="R27" s="75">
        <f>STDEV($O$3:$O$252)</f>
        <v>0.11706414082222089</v>
      </c>
      <c r="T27" s="69">
        <v>13</v>
      </c>
      <c r="U27" s="77">
        <f t="shared" si="3"/>
        <v>89.063999999999993</v>
      </c>
      <c r="V27" s="84">
        <v>3</v>
      </c>
      <c r="W27" s="79">
        <f t="shared" si="4"/>
        <v>88.05</v>
      </c>
      <c r="X27" s="80">
        <f t="shared" si="2"/>
        <v>3.2158476974530475E-2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0.12959590181190278</v>
      </c>
      <c r="C28" s="115" t="s">
        <v>45</v>
      </c>
      <c r="F28" s="7" t="e">
        <f>NORMINV(0.01,$E$26,$E$27)</f>
        <v>#DIV/0!</v>
      </c>
      <c r="M28" s="56">
        <v>40898</v>
      </c>
      <c r="N28" s="57">
        <v>107.1</v>
      </c>
      <c r="O28" s="58">
        <f t="shared" si="0"/>
        <v>4.6737629774537028</v>
      </c>
      <c r="Q28" s="75" t="s">
        <v>108</v>
      </c>
      <c r="R28" s="75">
        <f>NORMINV(0.025,$R$26,$R$27)</f>
        <v>4.2417016585863037</v>
      </c>
      <c r="T28" s="69">
        <v>14</v>
      </c>
      <c r="U28" s="77">
        <f t="shared" si="3"/>
        <v>91.091999999999999</v>
      </c>
      <c r="V28" s="84">
        <v>3</v>
      </c>
      <c r="W28" s="79">
        <f t="shared" si="4"/>
        <v>90.078000000000003</v>
      </c>
      <c r="X28" s="80">
        <f t="shared" si="2"/>
        <v>3.2158476974530475E-2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40977</v>
      </c>
      <c r="N29" s="57">
        <v>96.6</v>
      </c>
      <c r="O29" s="58">
        <f t="shared" si="0"/>
        <v>4.5705787412184726</v>
      </c>
      <c r="Q29" s="75" t="s">
        <v>107</v>
      </c>
      <c r="R29" s="75">
        <f>NORMINV(0.01,$R$26,$R$27)</f>
        <v>4.1988112433507903</v>
      </c>
      <c r="T29" s="69">
        <v>15</v>
      </c>
      <c r="U29" s="77">
        <f t="shared" si="3"/>
        <v>93.12</v>
      </c>
      <c r="V29" s="84">
        <v>1</v>
      </c>
      <c r="W29" s="79">
        <f t="shared" si="4"/>
        <v>92.105999999999995</v>
      </c>
      <c r="X29" s="80">
        <f t="shared" si="2"/>
        <v>1.0719492324843493E-2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41086</v>
      </c>
      <c r="N30" s="57">
        <v>101.8</v>
      </c>
      <c r="O30" s="58">
        <f t="shared" si="0"/>
        <v>4.623010104116422</v>
      </c>
      <c r="Q30" s="75" t="s">
        <v>105</v>
      </c>
      <c r="R30" s="75">
        <f>NORMINV(0.95,$R$26,$R$27)</f>
        <v>4.6636965350963697</v>
      </c>
      <c r="T30" s="69">
        <v>16</v>
      </c>
      <c r="U30" s="77">
        <f t="shared" si="3"/>
        <v>95.147999999999996</v>
      </c>
      <c r="V30" s="84">
        <v>2</v>
      </c>
      <c r="W30" s="79">
        <f t="shared" si="4"/>
        <v>94.134</v>
      </c>
      <c r="X30" s="80">
        <f t="shared" si="2"/>
        <v>2.1438984649686986E-2</v>
      </c>
    </row>
    <row r="31" spans="1:24" ht="15" customHeight="1" x14ac:dyDescent="0.2">
      <c r="A31" s="65" t="s">
        <v>98</v>
      </c>
      <c r="B31" s="62">
        <f>EXP($R30)-$B$26</f>
        <v>106.02729225725813</v>
      </c>
      <c r="C31" s="62">
        <f>NORMINV(0.025,$R$26,$R$27)</f>
        <v>4.2417016585863037</v>
      </c>
      <c r="E31" s="7" t="e">
        <f>NORMINV(0.98,$E$26,$E$27)</f>
        <v>#DIV/0!</v>
      </c>
      <c r="M31" s="56">
        <v>41164</v>
      </c>
      <c r="N31" s="57">
        <v>97.6</v>
      </c>
      <c r="O31" s="58">
        <f t="shared" si="0"/>
        <v>4.580877493419047</v>
      </c>
      <c r="Q31" s="75" t="s">
        <v>106</v>
      </c>
      <c r="R31" s="75">
        <f>NORMINV(0.98,$R$26,$R$27)</f>
        <v>4.711563510166668</v>
      </c>
      <c r="T31" s="69">
        <v>17</v>
      </c>
      <c r="U31" s="77">
        <f t="shared" si="3"/>
        <v>97.176000000000002</v>
      </c>
      <c r="V31" s="84">
        <v>4</v>
      </c>
      <c r="W31" s="79">
        <f t="shared" si="4"/>
        <v>96.162000000000006</v>
      </c>
      <c r="X31" s="80">
        <f t="shared" si="2"/>
        <v>4.2877969299373972E-2</v>
      </c>
    </row>
    <row r="32" spans="1:24" ht="15" customHeight="1" x14ac:dyDescent="0.2">
      <c r="A32" s="65" t="s">
        <v>86</v>
      </c>
      <c r="B32" s="62">
        <f>EXP($R$31)-$B$26</f>
        <v>111.22592689457034</v>
      </c>
      <c r="C32" s="62">
        <f>NORMINV(0.01,$R$26,$R$27)</f>
        <v>4.1988112433507903</v>
      </c>
      <c r="M32" s="56">
        <v>41248</v>
      </c>
      <c r="N32" s="57">
        <v>91.8</v>
      </c>
      <c r="O32" s="58">
        <f t="shared" si="0"/>
        <v>4.5196122976264448</v>
      </c>
      <c r="T32" s="69">
        <v>18</v>
      </c>
      <c r="U32" s="77">
        <f t="shared" si="3"/>
        <v>99.204000000000008</v>
      </c>
      <c r="V32" s="84">
        <v>1</v>
      </c>
      <c r="W32" s="79">
        <f t="shared" si="4"/>
        <v>98.19</v>
      </c>
      <c r="X32" s="80">
        <f t="shared" si="2"/>
        <v>1.0719492324843493E-2</v>
      </c>
    </row>
    <row r="33" spans="1:24" ht="15" customHeight="1" x14ac:dyDescent="0.2">
      <c r="M33" s="56">
        <v>41338</v>
      </c>
      <c r="N33" s="57">
        <v>99.4</v>
      </c>
      <c r="O33" s="58">
        <f t="shared" si="0"/>
        <v>4.5991521136625284</v>
      </c>
      <c r="T33" s="69">
        <v>19</v>
      </c>
      <c r="U33" s="77">
        <f t="shared" si="3"/>
        <v>101.232</v>
      </c>
      <c r="V33" s="84">
        <v>3</v>
      </c>
      <c r="W33" s="79">
        <f t="shared" si="4"/>
        <v>100.218</v>
      </c>
      <c r="X33" s="80">
        <f t="shared" si="2"/>
        <v>3.2158476974530475E-2</v>
      </c>
    </row>
    <row r="34" spans="1:24" ht="15" customHeight="1" x14ac:dyDescent="0.2">
      <c r="M34" s="56">
        <v>41429</v>
      </c>
      <c r="N34" s="57">
        <v>100</v>
      </c>
      <c r="O34" s="58">
        <f t="shared" si="0"/>
        <v>4.6051701859880918</v>
      </c>
      <c r="T34" s="69">
        <v>20</v>
      </c>
      <c r="U34" s="77">
        <f t="shared" si="3"/>
        <v>103.26</v>
      </c>
      <c r="V34" s="84">
        <v>4</v>
      </c>
      <c r="W34" s="79">
        <f t="shared" si="4"/>
        <v>102.24600000000001</v>
      </c>
      <c r="X34" s="80">
        <f t="shared" si="2"/>
        <v>4.2877969299373972E-2</v>
      </c>
    </row>
    <row r="35" spans="1:24" ht="15" customHeight="1" x14ac:dyDescent="0.25">
      <c r="A35" s="140" t="s">
        <v>78</v>
      </c>
      <c r="B35" s="140"/>
      <c r="C35" s="140"/>
      <c r="M35" s="56">
        <v>41516</v>
      </c>
      <c r="N35" s="57">
        <v>86.4</v>
      </c>
      <c r="O35" s="58">
        <f t="shared" si="0"/>
        <v>4.4589876758100102</v>
      </c>
      <c r="T35" s="69">
        <v>21</v>
      </c>
      <c r="U35" s="77">
        <f t="shared" si="3"/>
        <v>105.28800000000001</v>
      </c>
      <c r="V35" s="84">
        <v>1</v>
      </c>
      <c r="W35" s="79">
        <f t="shared" si="4"/>
        <v>104.274</v>
      </c>
      <c r="X35" s="80">
        <f t="shared" si="2"/>
        <v>1.0719492324843493E-2</v>
      </c>
    </row>
    <row r="36" spans="1:24" ht="15" x14ac:dyDescent="0.2">
      <c r="A36" s="101" t="s">
        <v>7</v>
      </c>
      <c r="B36" s="52">
        <f>IF($B$10&lt;($B$11-$B$10)/2,0,0.95*$B$10)</f>
        <v>62.699999999999996</v>
      </c>
      <c r="M36" s="56">
        <v>41617</v>
      </c>
      <c r="N36" s="57">
        <v>84.8</v>
      </c>
      <c r="O36" s="58">
        <f t="shared" si="0"/>
        <v>4.4402955427978572</v>
      </c>
      <c r="T36" s="69">
        <v>22</v>
      </c>
      <c r="U36" s="77">
        <f t="shared" si="3"/>
        <v>107.316</v>
      </c>
      <c r="V36" s="84">
        <v>0</v>
      </c>
      <c r="W36" s="79">
        <f t="shared" si="4"/>
        <v>106.30200000000001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113.4</v>
      </c>
      <c r="D37" s="8"/>
      <c r="E37" s="8"/>
      <c r="M37" s="56">
        <v>41696</v>
      </c>
      <c r="N37" s="57">
        <v>99.1</v>
      </c>
      <c r="O37" s="58">
        <f t="shared" si="0"/>
        <v>4.5961294413359424</v>
      </c>
      <c r="T37" s="69">
        <v>23</v>
      </c>
      <c r="U37" s="77">
        <f t="shared" si="3"/>
        <v>109.34400000000001</v>
      </c>
      <c r="V37" s="84">
        <v>2</v>
      </c>
      <c r="W37" s="79">
        <f t="shared" si="4"/>
        <v>108.33000000000001</v>
      </c>
      <c r="X37" s="80">
        <f t="shared" si="2"/>
        <v>2.1438984649686986E-2</v>
      </c>
    </row>
    <row r="38" spans="1:24" ht="15" x14ac:dyDescent="0.2">
      <c r="A38" s="104" t="s">
        <v>19</v>
      </c>
      <c r="B38" s="53">
        <f>($B$37-$B$36)/25</f>
        <v>2.0280000000000005</v>
      </c>
      <c r="M38" s="56">
        <v>41813</v>
      </c>
      <c r="N38" s="57">
        <v>91.4</v>
      </c>
      <c r="O38" s="58">
        <f t="shared" si="0"/>
        <v>4.5152454784601046</v>
      </c>
      <c r="T38" s="69">
        <v>24</v>
      </c>
      <c r="U38" s="77">
        <f t="shared" si="3"/>
        <v>111.37200000000001</v>
      </c>
      <c r="V38" s="84">
        <v>1</v>
      </c>
      <c r="W38" s="79">
        <f t="shared" si="4"/>
        <v>110.358</v>
      </c>
      <c r="X38" s="80">
        <f t="shared" si="2"/>
        <v>1.0719492324843493E-2</v>
      </c>
    </row>
    <row r="39" spans="1:24" ht="15" x14ac:dyDescent="0.2">
      <c r="M39" s="56">
        <v>41886</v>
      </c>
      <c r="N39" s="57">
        <v>88.5</v>
      </c>
      <c r="O39" s="58">
        <f t="shared" si="0"/>
        <v>4.4830025520138834</v>
      </c>
      <c r="T39" s="69">
        <v>25</v>
      </c>
      <c r="U39" s="77">
        <f t="shared" si="3"/>
        <v>113.4</v>
      </c>
      <c r="V39" s="84">
        <v>0</v>
      </c>
      <c r="W39" s="79">
        <f t="shared" si="4"/>
        <v>112.38600000000001</v>
      </c>
      <c r="X39" s="80">
        <f t="shared" si="2"/>
        <v>0</v>
      </c>
    </row>
    <row r="40" spans="1:24" ht="15" x14ac:dyDescent="0.2">
      <c r="M40" s="56">
        <v>41975</v>
      </c>
      <c r="N40" s="57">
        <v>87.4</v>
      </c>
      <c r="O40" s="58">
        <f t="shared" si="0"/>
        <v>4.4704952826614894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42046</v>
      </c>
      <c r="N41" s="57">
        <v>106</v>
      </c>
      <c r="O41" s="58">
        <f t="shared" si="0"/>
        <v>4.6634390941120669</v>
      </c>
    </row>
    <row r="42" spans="1:24" ht="15" x14ac:dyDescent="0.2">
      <c r="M42" s="56">
        <v>42156</v>
      </c>
      <c r="N42" s="57">
        <v>95</v>
      </c>
      <c r="O42" s="58">
        <f t="shared" si="0"/>
        <v>4.5538768916005408</v>
      </c>
    </row>
    <row r="43" spans="1:24" ht="15" x14ac:dyDescent="0.2">
      <c r="M43" s="56">
        <v>42254</v>
      </c>
      <c r="N43" s="57">
        <v>77</v>
      </c>
      <c r="O43" s="58">
        <f t="shared" si="0"/>
        <v>4.3438054218536841</v>
      </c>
    </row>
    <row r="44" spans="1:24" ht="15" x14ac:dyDescent="0.2">
      <c r="M44" s="56">
        <v>42332</v>
      </c>
      <c r="N44" s="57">
        <v>75.7</v>
      </c>
      <c r="O44" s="58">
        <f t="shared" si="0"/>
        <v>4.3267781604434035</v>
      </c>
      <c r="T44" s="83" t="s">
        <v>13</v>
      </c>
    </row>
    <row r="45" spans="1:24" ht="15" x14ac:dyDescent="0.2">
      <c r="M45" s="56">
        <v>42403</v>
      </c>
      <c r="N45" s="57">
        <v>101.1</v>
      </c>
      <c r="O45" s="58">
        <f t="shared" si="0"/>
        <v>4.6161101260264257</v>
      </c>
      <c r="T45" s="69" t="s">
        <v>26</v>
      </c>
      <c r="U45" s="69" t="s">
        <v>27</v>
      </c>
    </row>
    <row r="46" spans="1:24" ht="15" x14ac:dyDescent="0.2">
      <c r="B46" s="6"/>
      <c r="M46" s="56">
        <v>42508</v>
      </c>
      <c r="N46" s="57">
        <v>95</v>
      </c>
      <c r="O46" s="58">
        <f t="shared" si="0"/>
        <v>4.5538768916005408</v>
      </c>
      <c r="T46" s="85">
        <f>$U$14-$B$38/100</f>
        <v>62.679719999999996</v>
      </c>
      <c r="U46" s="28">
        <v>0</v>
      </c>
    </row>
    <row r="47" spans="1:24" ht="15" x14ac:dyDescent="0.2">
      <c r="B47" s="9"/>
      <c r="C47" s="9"/>
      <c r="D47" s="9"/>
      <c r="E47" s="9"/>
      <c r="M47" s="56">
        <v>42579</v>
      </c>
      <c r="N47" s="57">
        <v>94.2</v>
      </c>
      <c r="O47" s="58">
        <f t="shared" si="0"/>
        <v>4.5454201815823172</v>
      </c>
      <c r="T47" s="85">
        <f>$U$14+$B$38/100</f>
        <v>62.720279999999995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42696</v>
      </c>
      <c r="N48" s="57">
        <v>73</v>
      </c>
      <c r="O48" s="58">
        <f t="shared" si="0"/>
        <v>4.290459441148391</v>
      </c>
      <c r="T48" s="85">
        <f>$U$15-$B$38/100</f>
        <v>64.707719999999995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64.748279999999994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66.735720000000001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66.77628</v>
      </c>
      <c r="U51" s="28">
        <f>$X$17</f>
        <v>1.0719492324843493E-2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68.763719999999992</v>
      </c>
      <c r="U52" s="28">
        <f>$X$17</f>
        <v>1.0719492324843493E-2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68.804279999999991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70.791719999999998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70.832279999999997</v>
      </c>
      <c r="U55" s="28">
        <f>$X$19</f>
        <v>1.0719492324843493E-2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72.819720000000004</v>
      </c>
      <c r="U56" s="28">
        <f>$X$19</f>
        <v>1.0719492324843493E-2</v>
      </c>
    </row>
    <row r="57" spans="5:21" ht="15" x14ac:dyDescent="0.2">
      <c r="E57" s="70">
        <v>36161</v>
      </c>
      <c r="F57" s="82">
        <f>$B$21</f>
        <v>108.09874053394955</v>
      </c>
      <c r="G57" s="82">
        <f>$C$21</f>
        <v>67.983868161702617</v>
      </c>
      <c r="H57" s="82">
        <f>$B$22</f>
        <v>111.84815712591325</v>
      </c>
      <c r="I57" s="82">
        <f>$C$22</f>
        <v>64.234451569738923</v>
      </c>
      <c r="J57" s="82">
        <f>$B$31</f>
        <v>106.02729225725813</v>
      </c>
      <c r="K57" s="82">
        <f>$B$32</f>
        <v>111.22592689457034</v>
      </c>
      <c r="M57" s="56"/>
      <c r="N57" s="57"/>
      <c r="O57" s="58" t="b">
        <f t="shared" si="0"/>
        <v>0</v>
      </c>
      <c r="T57" s="85">
        <f>$U$19+$B$38/100</f>
        <v>72.860280000000003</v>
      </c>
      <c r="U57" s="28">
        <f>$X$20</f>
        <v>0</v>
      </c>
    </row>
    <row r="58" spans="5:21" ht="15" x14ac:dyDescent="0.2">
      <c r="E58" s="70">
        <v>51501</v>
      </c>
      <c r="F58" s="82">
        <f>$B$21</f>
        <v>108.09874053394955</v>
      </c>
      <c r="G58" s="82">
        <f>$C$21</f>
        <v>67.983868161702617</v>
      </c>
      <c r="H58" s="82">
        <f>$B$22</f>
        <v>111.84815712591325</v>
      </c>
      <c r="I58" s="82">
        <f>$C$22</f>
        <v>64.234451569738923</v>
      </c>
      <c r="J58" s="82">
        <f>$B$31</f>
        <v>106.02729225725813</v>
      </c>
      <c r="K58" s="82">
        <f>$B$32</f>
        <v>111.22592689457034</v>
      </c>
      <c r="M58" s="56"/>
      <c r="N58" s="57"/>
      <c r="O58" s="58" t="b">
        <f t="shared" si="0"/>
        <v>0</v>
      </c>
      <c r="T58" s="85">
        <f>$U$20-$B$38/100</f>
        <v>74.847719999999995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74.888279999999995</v>
      </c>
      <c r="U59" s="28">
        <f>$X$21</f>
        <v>1.0719492324843493E-2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76.875720000000001</v>
      </c>
      <c r="U60" s="28">
        <f>$X$21</f>
        <v>1.0719492324843493E-2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76.91628</v>
      </c>
      <c r="U61" s="28">
        <f>$X$22</f>
        <v>3.2158476974530475E-2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78.903720000000007</v>
      </c>
      <c r="U62" s="28">
        <f>$X$22</f>
        <v>3.2158476974530475E-2</v>
      </c>
    </row>
    <row r="63" spans="5:21" ht="15" x14ac:dyDescent="0.2">
      <c r="E63" s="72">
        <v>-5</v>
      </c>
      <c r="F63" s="73">
        <f>$B$16+$E63*$B$17</f>
        <v>36.873435079987573</v>
      </c>
      <c r="G63" s="73">
        <f>NORMDIST($F63,$B$16,$B$17,FALSE)</f>
        <v>1.4527862269894961E-7</v>
      </c>
      <c r="H63" s="73">
        <f>EXP($R$26+$E63*$R$27)</f>
        <v>48.70698526331973</v>
      </c>
      <c r="I63" s="73">
        <f t="shared" ref="I63:I113" si="5">H63-$B$26</f>
        <v>48.70698526331973</v>
      </c>
      <c r="J63" s="73">
        <f>1/$H63/SQRT(2*PI())/$R$27*EXP(-POWER(LN($H63)-$R$26,2)/2/POWER($R$27,2))</f>
        <v>2.6074375191426464E-7</v>
      </c>
      <c r="K63" s="73">
        <f>LOGNORMDIST($H63,$R$26,$R$27)</f>
        <v>2.8665157187919439E-7</v>
      </c>
      <c r="M63" s="56"/>
      <c r="N63" s="57"/>
      <c r="O63" s="58" t="b">
        <f t="shared" si="0"/>
        <v>0</v>
      </c>
      <c r="T63" s="85">
        <f>$U$22+$B$38/100</f>
        <v>78.944280000000006</v>
      </c>
      <c r="U63" s="28">
        <f>$X$23</f>
        <v>2.1438984649686986E-2</v>
      </c>
    </row>
    <row r="64" spans="5:21" ht="15" x14ac:dyDescent="0.2">
      <c r="E64" s="72">
        <v>-4.8</v>
      </c>
      <c r="F64" s="73">
        <f t="shared" ref="F64:F113" si="6">$B$16+$E64*$B$17</f>
        <v>38.920149850701115</v>
      </c>
      <c r="G64" s="73">
        <f t="shared" ref="G64:G113" si="7">NORMDIST($F64,$B$16,$B$17,FALSE)</f>
        <v>3.8708853306912512E-7</v>
      </c>
      <c r="H64" s="73">
        <f t="shared" ref="H64:H113" si="8">EXP($R$26+$E64*$R$27)</f>
        <v>49.860807959770554</v>
      </c>
      <c r="I64" s="73">
        <f t="shared" si="5"/>
        <v>49.860807959770554</v>
      </c>
      <c r="J64" s="73">
        <f t="shared" ref="J64:J113" si="9">1/$H64/SQRT(2*PI())/$R$27*EXP(-POWER(LN($H64)-$R$26,2)/2/POWER($R$27,2))</f>
        <v>6.7866341888059295E-7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80.931719999999999</v>
      </c>
      <c r="U64" s="28">
        <f>$X$23</f>
        <v>2.1438984649686986E-2</v>
      </c>
    </row>
    <row r="65" spans="5:21" ht="15" x14ac:dyDescent="0.2">
      <c r="E65" s="72">
        <v>-4.5999999999999996</v>
      </c>
      <c r="F65" s="73">
        <f t="shared" si="6"/>
        <v>40.966864621414658</v>
      </c>
      <c r="G65" s="73">
        <f t="shared" si="7"/>
        <v>9.9093945190529735E-7</v>
      </c>
      <c r="H65" s="73">
        <f t="shared" si="8"/>
        <v>51.041963631310026</v>
      </c>
      <c r="I65" s="73">
        <f t="shared" si="5"/>
        <v>51.041963631310026</v>
      </c>
      <c r="J65" s="73">
        <f t="shared" si="9"/>
        <v>1.6971615791514233E-6</v>
      </c>
      <c r="K65" s="73">
        <f t="shared" si="10"/>
        <v>2.1124547025028414E-6</v>
      </c>
      <c r="M65" s="56"/>
      <c r="N65" s="57"/>
      <c r="O65" s="58" t="b">
        <f t="shared" si="0"/>
        <v>0</v>
      </c>
      <c r="T65" s="85">
        <f>$U$23+$B$38/100</f>
        <v>80.972279999999998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43.013579392128193</v>
      </c>
      <c r="G66" s="73">
        <f t="shared" si="7"/>
        <v>2.4373177588744241E-6</v>
      </c>
      <c r="H66" s="73">
        <f t="shared" si="8"/>
        <v>52.251099770425064</v>
      </c>
      <c r="I66" s="73">
        <f t="shared" si="5"/>
        <v>52.251099770425064</v>
      </c>
      <c r="J66" s="73">
        <f t="shared" si="9"/>
        <v>4.0777459321545184E-6</v>
      </c>
      <c r="K66" s="73">
        <f t="shared" si="10"/>
        <v>5.412543907703823E-6</v>
      </c>
      <c r="M66" s="56"/>
      <c r="N66" s="57"/>
      <c r="O66" s="58" t="b">
        <f t="shared" si="0"/>
        <v>0</v>
      </c>
      <c r="T66" s="85">
        <f>$U$24-$B$38/100</f>
        <v>82.959720000000004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45.060294162841735</v>
      </c>
      <c r="G67" s="73">
        <f t="shared" si="7"/>
        <v>5.7597735258431441E-6</v>
      </c>
      <c r="H67" s="73">
        <f t="shared" si="8"/>
        <v>53.488879208090964</v>
      </c>
      <c r="I67" s="73">
        <f t="shared" si="5"/>
        <v>53.488879208090964</v>
      </c>
      <c r="J67" s="73">
        <f t="shared" si="9"/>
        <v>9.4133749028843915E-6</v>
      </c>
      <c r="K67" s="73">
        <f t="shared" si="10"/>
        <v>1.3345749015906261E-5</v>
      </c>
      <c r="M67" s="56"/>
      <c r="N67" s="57"/>
      <c r="O67" s="58" t="b">
        <f t="shared" ref="O67:O130" si="11">IF($N67&gt;0,LN($N67+$B$26))</f>
        <v>0</v>
      </c>
      <c r="T67" s="85">
        <f>$U$24+$B$38/100</f>
        <v>83.000280000000004</v>
      </c>
      <c r="U67" s="28">
        <f>$X$25</f>
        <v>9.647543092359144E-2</v>
      </c>
    </row>
    <row r="68" spans="5:21" ht="15" x14ac:dyDescent="0.2">
      <c r="E68" s="72">
        <v>-4</v>
      </c>
      <c r="F68" s="73">
        <f t="shared" si="6"/>
        <v>47.107008933555278</v>
      </c>
      <c r="G68" s="73">
        <f t="shared" si="7"/>
        <v>1.3077564854650316E-5</v>
      </c>
      <c r="H68" s="73">
        <f t="shared" si="8"/>
        <v>54.755980477125796</v>
      </c>
      <c r="I68" s="73">
        <f t="shared" si="5"/>
        <v>54.755980477125796</v>
      </c>
      <c r="J68" s="73">
        <f t="shared" si="9"/>
        <v>2.0878474746595056E-5</v>
      </c>
      <c r="K68" s="73">
        <f t="shared" si="10"/>
        <v>3.1671241833120121E-5</v>
      </c>
      <c r="M68" s="56"/>
      <c r="N68" s="57"/>
      <c r="O68" s="58" t="b">
        <f t="shared" si="11"/>
        <v>0</v>
      </c>
      <c r="T68" s="85">
        <f>$U$25-$B$38/100</f>
        <v>84.98772000000001</v>
      </c>
      <c r="U68" s="28">
        <f>$X$25</f>
        <v>9.647543092359144E-2</v>
      </c>
    </row>
    <row r="69" spans="5:21" ht="15" x14ac:dyDescent="0.2">
      <c r="E69" s="72">
        <v>-3.8</v>
      </c>
      <c r="F69" s="73">
        <f t="shared" si="6"/>
        <v>49.15372370426882</v>
      </c>
      <c r="G69" s="73">
        <f t="shared" si="7"/>
        <v>2.8528345030673681E-5</v>
      </c>
      <c r="H69" s="73">
        <f t="shared" si="8"/>
        <v>56.053098184152205</v>
      </c>
      <c r="I69" s="73">
        <f t="shared" si="5"/>
        <v>56.053098184152205</v>
      </c>
      <c r="J69" s="73">
        <f t="shared" si="9"/>
        <v>4.4491843651707926E-5</v>
      </c>
      <c r="K69" s="73">
        <f t="shared" si="10"/>
        <v>7.2348043925120329E-5</v>
      </c>
      <c r="M69" s="56"/>
      <c r="N69" s="57"/>
      <c r="O69" s="58" t="b">
        <f t="shared" si="11"/>
        <v>0</v>
      </c>
      <c r="T69" s="85">
        <f>$U$25+$B$38/100</f>
        <v>85.028280000000009</v>
      </c>
      <c r="U69" s="28">
        <f>$X$26</f>
        <v>4.2877969299373972E-2</v>
      </c>
    </row>
    <row r="70" spans="5:21" ht="15" x14ac:dyDescent="0.2">
      <c r="E70" s="72">
        <v>-3.6</v>
      </c>
      <c r="F70" s="73">
        <f t="shared" si="6"/>
        <v>51.200438474982356</v>
      </c>
      <c r="G70" s="73">
        <f t="shared" si="7"/>
        <v>5.9793571519537752E-5</v>
      </c>
      <c r="H70" s="73">
        <f t="shared" si="8"/>
        <v>57.380943390370859</v>
      </c>
      <c r="I70" s="73">
        <f t="shared" si="5"/>
        <v>57.380943390370859</v>
      </c>
      <c r="J70" s="73">
        <f t="shared" si="9"/>
        <v>9.1094101576804889E-5</v>
      </c>
      <c r="K70" s="73">
        <f t="shared" si="10"/>
        <v>1.5910859015753445E-4</v>
      </c>
      <c r="M70" s="56"/>
      <c r="N70" s="57"/>
      <c r="O70" s="58" t="b">
        <f t="shared" si="11"/>
        <v>0</v>
      </c>
      <c r="T70" s="85">
        <f>$U$26-$B$38/100</f>
        <v>87.015720000000002</v>
      </c>
      <c r="U70" s="28">
        <f>$X$26</f>
        <v>4.2877969299373972E-2</v>
      </c>
    </row>
    <row r="71" spans="5:21" ht="15" x14ac:dyDescent="0.2">
      <c r="E71" s="72">
        <v>-3.4</v>
      </c>
      <c r="F71" s="73">
        <f t="shared" si="6"/>
        <v>53.247153245695898</v>
      </c>
      <c r="G71" s="73">
        <f t="shared" si="7"/>
        <v>1.2040946653679886E-4</v>
      </c>
      <c r="H71" s="73">
        <f t="shared" si="8"/>
        <v>58.740244001353851</v>
      </c>
      <c r="I71" s="73">
        <f t="shared" si="5"/>
        <v>58.740244001353851</v>
      </c>
      <c r="J71" s="73">
        <f t="shared" si="9"/>
        <v>1.7919600868295576E-4</v>
      </c>
      <c r="K71" s="73">
        <f t="shared" si="10"/>
        <v>3.3692926567688151E-4</v>
      </c>
      <c r="M71" s="56"/>
      <c r="N71" s="57"/>
      <c r="O71" s="58" t="b">
        <f t="shared" si="11"/>
        <v>0</v>
      </c>
      <c r="T71" s="85">
        <f>$U$26+$B$38/100</f>
        <v>87.056280000000001</v>
      </c>
      <c r="U71" s="28">
        <f>$X$27</f>
        <v>3.2158476974530475E-2</v>
      </c>
    </row>
    <row r="72" spans="5:21" ht="15" x14ac:dyDescent="0.2">
      <c r="E72" s="72">
        <v>-3.2</v>
      </c>
      <c r="F72" s="73">
        <f t="shared" si="6"/>
        <v>55.293868016409441</v>
      </c>
      <c r="G72" s="73">
        <f t="shared" si="7"/>
        <v>2.3296731284483637E-4</v>
      </c>
      <c r="H72" s="73">
        <f t="shared" si="8"/>
        <v>60.131745166072058</v>
      </c>
      <c r="I72" s="73">
        <f t="shared" si="5"/>
        <v>60.131745166072058</v>
      </c>
      <c r="J72" s="73">
        <f t="shared" si="9"/>
        <v>3.3868395932093437E-4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89.043719999999993</v>
      </c>
      <c r="U72" s="28">
        <f>$X$27</f>
        <v>3.2158476974530475E-2</v>
      </c>
    </row>
    <row r="73" spans="5:21" ht="15" x14ac:dyDescent="0.2">
      <c r="E73" s="72">
        <v>-3</v>
      </c>
      <c r="F73" s="73">
        <f t="shared" si="6"/>
        <v>57.340582787122983</v>
      </c>
      <c r="G73" s="73">
        <f t="shared" si="7"/>
        <v>4.3306947068085633E-4</v>
      </c>
      <c r="H73" s="73">
        <f t="shared" si="8"/>
        <v>61.556209685375023</v>
      </c>
      <c r="I73" s="73">
        <f t="shared" si="5"/>
        <v>61.556209685375023</v>
      </c>
      <c r="J73" s="73">
        <f t="shared" si="9"/>
        <v>6.1501986677829851E-4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89.084279999999993</v>
      </c>
      <c r="U73" s="28">
        <f>$X$28</f>
        <v>3.2158476974530475E-2</v>
      </c>
    </row>
    <row r="74" spans="5:21" ht="15" x14ac:dyDescent="0.2">
      <c r="E74" s="72">
        <v>-2.8</v>
      </c>
      <c r="F74" s="73">
        <f t="shared" si="6"/>
        <v>59.387297557836519</v>
      </c>
      <c r="G74" s="73">
        <f t="shared" si="7"/>
        <v>7.7347871782059948E-4</v>
      </c>
      <c r="H74" s="73">
        <f t="shared" si="8"/>
        <v>63.014418430147401</v>
      </c>
      <c r="I74" s="73">
        <f t="shared" si="5"/>
        <v>63.014418430147401</v>
      </c>
      <c r="J74" s="73">
        <f t="shared" si="9"/>
        <v>1.0730300446289711E-3</v>
      </c>
      <c r="K74" s="73">
        <f t="shared" si="10"/>
        <v>2.5551303304279203E-3</v>
      </c>
      <c r="M74" s="56"/>
      <c r="N74" s="57"/>
      <c r="O74" s="58" t="b">
        <f t="shared" si="11"/>
        <v>0</v>
      </c>
      <c r="T74" s="85">
        <f>$U$28-$B$38/100</f>
        <v>91.071719999999999</v>
      </c>
      <c r="U74" s="28">
        <f>$X$28</f>
        <v>3.2158476974530475E-2</v>
      </c>
    </row>
    <row r="75" spans="5:21" ht="15" x14ac:dyDescent="0.2">
      <c r="E75" s="72">
        <v>-2.6</v>
      </c>
      <c r="F75" s="73">
        <f t="shared" si="6"/>
        <v>61.434012328550061</v>
      </c>
      <c r="G75" s="73">
        <f t="shared" si="7"/>
        <v>1.3272947875340951E-3</v>
      </c>
      <c r="H75" s="73">
        <f t="shared" si="8"/>
        <v>64.507170769371072</v>
      </c>
      <c r="I75" s="73">
        <f t="shared" si="5"/>
        <v>64.507170769371072</v>
      </c>
      <c r="J75" s="73">
        <f t="shared" si="9"/>
        <v>1.7987170048579758E-3</v>
      </c>
      <c r="K75" s="73">
        <f t="shared" si="10"/>
        <v>4.6611880237187302E-3</v>
      </c>
      <c r="M75" s="56"/>
      <c r="N75" s="57"/>
      <c r="O75" s="58" t="b">
        <f t="shared" si="11"/>
        <v>0</v>
      </c>
      <c r="T75" s="85">
        <f>$U$28+$B$38/100</f>
        <v>91.112279999999998</v>
      </c>
      <c r="U75" s="28">
        <f>$X$29</f>
        <v>1.0719492324843493E-2</v>
      </c>
    </row>
    <row r="76" spans="5:21" ht="15" x14ac:dyDescent="0.2">
      <c r="E76" s="72">
        <v>-2.4</v>
      </c>
      <c r="F76" s="73">
        <f t="shared" si="6"/>
        <v>63.480727099263603</v>
      </c>
      <c r="G76" s="73">
        <f t="shared" si="7"/>
        <v>2.1883391486968709E-3</v>
      </c>
      <c r="H76" s="73">
        <f t="shared" si="8"/>
        <v>66.035285008327705</v>
      </c>
      <c r="I76" s="73">
        <f t="shared" si="5"/>
        <v>66.035285008327705</v>
      </c>
      <c r="J76" s="73">
        <f t="shared" si="9"/>
        <v>2.8969568023631117E-3</v>
      </c>
      <c r="K76" s="73">
        <f t="shared" si="10"/>
        <v>8.1975359245960878E-3</v>
      </c>
      <c r="M76" s="56"/>
      <c r="N76" s="57"/>
      <c r="O76" s="58" t="b">
        <f t="shared" si="11"/>
        <v>0</v>
      </c>
      <c r="T76" s="85">
        <f>$U$29-$B$38/100</f>
        <v>93.099720000000005</v>
      </c>
      <c r="U76" s="28">
        <f>$X$29</f>
        <v>1.0719492324843493E-2</v>
      </c>
    </row>
    <row r="77" spans="5:21" ht="15" x14ac:dyDescent="0.2">
      <c r="E77" s="72">
        <v>-2.2000000000000002</v>
      </c>
      <c r="F77" s="73">
        <f t="shared" si="6"/>
        <v>65.527441869977139</v>
      </c>
      <c r="G77" s="73">
        <f t="shared" si="7"/>
        <v>3.4664911157956824E-3</v>
      </c>
      <c r="H77" s="73">
        <f t="shared" si="8"/>
        <v>67.599598837181887</v>
      </c>
      <c r="I77" s="73">
        <f t="shared" si="5"/>
        <v>67.599598837181887</v>
      </c>
      <c r="J77" s="73">
        <f t="shared" si="9"/>
        <v>4.4828005744872732E-3</v>
      </c>
      <c r="K77" s="73">
        <f t="shared" si="10"/>
        <v>1.3903447513498517E-2</v>
      </c>
      <c r="L77" s="16"/>
      <c r="M77" s="56"/>
      <c r="N77" s="57"/>
      <c r="O77" s="58" t="b">
        <f t="shared" si="11"/>
        <v>0</v>
      </c>
      <c r="T77" s="85">
        <f>$U$29+$B$38/100</f>
        <v>93.140280000000004</v>
      </c>
      <c r="U77" s="28">
        <f>$X$30</f>
        <v>2.1438984649686986E-2</v>
      </c>
    </row>
    <row r="78" spans="5:21" ht="15" x14ac:dyDescent="0.2">
      <c r="E78" s="72">
        <v>-2</v>
      </c>
      <c r="F78" s="73">
        <f t="shared" si="6"/>
        <v>67.574156640690688</v>
      </c>
      <c r="G78" s="73">
        <f t="shared" si="7"/>
        <v>5.2758662111345792E-3</v>
      </c>
      <c r="H78" s="73">
        <f t="shared" si="8"/>
        <v>69.200969790190769</v>
      </c>
      <c r="I78" s="73">
        <f t="shared" si="5"/>
        <v>69.200969790190769</v>
      </c>
      <c r="J78" s="73">
        <f t="shared" si="9"/>
        <v>6.6647680457355947E-3</v>
      </c>
      <c r="K78" s="73">
        <f t="shared" si="10"/>
        <v>2.2750131948179063E-2</v>
      </c>
      <c r="L78" s="16"/>
      <c r="M78" s="56"/>
      <c r="N78" s="57"/>
      <c r="O78" s="58" t="b">
        <f t="shared" si="11"/>
        <v>0</v>
      </c>
      <c r="T78" s="85">
        <f>$U$30-$B$38/100</f>
        <v>95.127719999999997</v>
      </c>
      <c r="U78" s="28">
        <f>$X$30</f>
        <v>2.1438984649686986E-2</v>
      </c>
    </row>
    <row r="79" spans="5:21" ht="15" x14ac:dyDescent="0.2">
      <c r="E79" s="72">
        <v>-1.8</v>
      </c>
      <c r="F79" s="73">
        <f t="shared" si="6"/>
        <v>69.620871411404224</v>
      </c>
      <c r="G79" s="73">
        <f t="shared" si="7"/>
        <v>7.7148178564588176E-3</v>
      </c>
      <c r="H79" s="73">
        <f t="shared" si="8"/>
        <v>70.840275715791961</v>
      </c>
      <c r="I79" s="73">
        <f t="shared" si="5"/>
        <v>70.840275715791961</v>
      </c>
      <c r="J79" s="73">
        <f t="shared" si="9"/>
        <v>9.5202615581411101E-3</v>
      </c>
      <c r="K79" s="73">
        <f t="shared" si="10"/>
        <v>3.5930319112925532E-2</v>
      </c>
      <c r="L79" s="16"/>
      <c r="M79" s="56"/>
      <c r="N79" s="57"/>
      <c r="O79" s="58" t="b">
        <f t="shared" si="11"/>
        <v>0</v>
      </c>
      <c r="T79" s="85">
        <f>$U$30+$B$38/100</f>
        <v>95.168279999999996</v>
      </c>
      <c r="U79" s="28">
        <f>$X$31</f>
        <v>4.2877969299373972E-2</v>
      </c>
    </row>
    <row r="80" spans="5:21" ht="15" x14ac:dyDescent="0.2">
      <c r="E80" s="72">
        <v>-1.6</v>
      </c>
      <c r="F80" s="73">
        <f t="shared" si="6"/>
        <v>71.667586182117759</v>
      </c>
      <c r="G80" s="73">
        <f t="shared" si="7"/>
        <v>1.0838914759068799E-2</v>
      </c>
      <c r="H80" s="73">
        <f t="shared" si="8"/>
        <v>72.518415257827428</v>
      </c>
      <c r="I80" s="73">
        <f t="shared" si="5"/>
        <v>72.518415257827428</v>
      </c>
      <c r="J80" s="73">
        <f t="shared" si="9"/>
        <v>1.3065948499645949E-2</v>
      </c>
      <c r="K80" s="73">
        <f t="shared" si="10"/>
        <v>5.4799291699557551E-2</v>
      </c>
      <c r="L80" s="16"/>
      <c r="M80" s="56"/>
      <c r="N80" s="57"/>
      <c r="O80" s="58" t="b">
        <f t="shared" si="11"/>
        <v>0</v>
      </c>
      <c r="T80" s="85">
        <f>$U$31-$B$38/100</f>
        <v>97.155720000000002</v>
      </c>
      <c r="U80" s="28">
        <f>$X$31</f>
        <v>4.2877969299373972E-2</v>
      </c>
    </row>
    <row r="81" spans="5:21" ht="15" x14ac:dyDescent="0.2">
      <c r="E81" s="72">
        <v>-1.4</v>
      </c>
      <c r="F81" s="73">
        <f t="shared" si="6"/>
        <v>73.714300952831309</v>
      </c>
      <c r="G81" s="73">
        <f t="shared" si="7"/>
        <v>1.4631004552094568E-2</v>
      </c>
      <c r="H81" s="73">
        <f t="shared" si="8"/>
        <v>74.236308348167043</v>
      </c>
      <c r="I81" s="73">
        <f t="shared" si="5"/>
        <v>74.236308348167043</v>
      </c>
      <c r="J81" s="73">
        <f t="shared" si="9"/>
        <v>1.7229045762720288E-2</v>
      </c>
      <c r="K81" s="73">
        <f t="shared" si="10"/>
        <v>8.0756659233771566E-2</v>
      </c>
      <c r="L81" s="14"/>
      <c r="M81" s="56"/>
      <c r="N81" s="57"/>
      <c r="O81" s="58" t="b">
        <f t="shared" si="11"/>
        <v>0</v>
      </c>
      <c r="T81" s="85">
        <f>$U$31+$B$38/100</f>
        <v>97.196280000000002</v>
      </c>
      <c r="U81" s="28">
        <f>$X$32</f>
        <v>1.0719492324843493E-2</v>
      </c>
    </row>
    <row r="82" spans="5:21" ht="15" x14ac:dyDescent="0.2">
      <c r="E82" s="72">
        <v>-1.2</v>
      </c>
      <c r="F82" s="73">
        <f t="shared" si="6"/>
        <v>75.761015723544844</v>
      </c>
      <c r="G82" s="73">
        <f t="shared" si="7"/>
        <v>1.8975390001755296E-2</v>
      </c>
      <c r="H82" s="73">
        <f t="shared" si="8"/>
        <v>75.994896711001786</v>
      </c>
      <c r="I82" s="73">
        <f t="shared" si="5"/>
        <v>75.994896711001786</v>
      </c>
      <c r="J82" s="73">
        <f t="shared" si="9"/>
        <v>2.1827788033756623E-2</v>
      </c>
      <c r="K82" s="73">
        <f t="shared" si="10"/>
        <v>0.11506967022170883</v>
      </c>
      <c r="L82" s="14"/>
      <c r="M82" s="56"/>
      <c r="N82" s="57"/>
      <c r="O82" s="58" t="b">
        <f t="shared" si="11"/>
        <v>0</v>
      </c>
      <c r="T82" s="85">
        <f>$U$32-$B$38/100</f>
        <v>99.183720000000008</v>
      </c>
      <c r="U82" s="28">
        <f>$X$32</f>
        <v>1.0719492324843493E-2</v>
      </c>
    </row>
    <row r="83" spans="5:21" ht="15" x14ac:dyDescent="0.2">
      <c r="E83" s="72">
        <v>-1</v>
      </c>
      <c r="F83" s="73">
        <f t="shared" si="6"/>
        <v>77.807730494258379</v>
      </c>
      <c r="G83" s="73">
        <f t="shared" si="7"/>
        <v>2.3644791935007702E-2</v>
      </c>
      <c r="H83" s="73">
        <f t="shared" si="8"/>
        <v>77.795144379083681</v>
      </c>
      <c r="I83" s="73">
        <f t="shared" si="5"/>
        <v>77.795144379083681</v>
      </c>
      <c r="J83" s="73">
        <f t="shared" si="9"/>
        <v>2.6569687820037307E-2</v>
      </c>
      <c r="K83" s="73">
        <f t="shared" si="10"/>
        <v>0.15865525393145757</v>
      </c>
      <c r="L83" s="14"/>
      <c r="M83" s="56"/>
      <c r="N83" s="57"/>
      <c r="O83" s="58" t="b">
        <f t="shared" si="11"/>
        <v>0</v>
      </c>
      <c r="T83" s="85">
        <f>$U$32+$B$38/100</f>
        <v>99.224280000000007</v>
      </c>
      <c r="U83" s="28">
        <f>$X$33</f>
        <v>3.2158476974530475E-2</v>
      </c>
    </row>
    <row r="84" spans="5:21" ht="15" x14ac:dyDescent="0.2">
      <c r="E84" s="72">
        <v>-0.8</v>
      </c>
      <c r="F84" s="73">
        <f t="shared" si="6"/>
        <v>79.854445264971929</v>
      </c>
      <c r="G84" s="73">
        <f t="shared" si="7"/>
        <v>2.8307955451993782E-2</v>
      </c>
      <c r="H84" s="73">
        <f t="shared" si="8"/>
        <v>79.638038222194396</v>
      </c>
      <c r="I84" s="73">
        <f t="shared" si="5"/>
        <v>79.638038222194396</v>
      </c>
      <c r="J84" s="73">
        <f t="shared" si="9"/>
        <v>3.1073587511809945E-2</v>
      </c>
      <c r="K84" s="73">
        <f t="shared" si="10"/>
        <v>0.21185539858339722</v>
      </c>
      <c r="M84" s="56"/>
      <c r="N84" s="57"/>
      <c r="O84" s="58" t="b">
        <f t="shared" si="11"/>
        <v>0</v>
      </c>
      <c r="T84" s="85">
        <f>$U$33-$B$38/100</f>
        <v>101.21172</v>
      </c>
      <c r="U84" s="28">
        <f>$X$33</f>
        <v>3.2158476974530475E-2</v>
      </c>
    </row>
    <row r="85" spans="5:21" ht="15" x14ac:dyDescent="0.2">
      <c r="E85" s="72">
        <v>-0.6</v>
      </c>
      <c r="F85" s="73">
        <f t="shared" si="6"/>
        <v>81.901160035685464</v>
      </c>
      <c r="G85" s="73">
        <f t="shared" si="7"/>
        <v>3.2561899455646033E-2</v>
      </c>
      <c r="H85" s="73">
        <f t="shared" si="8"/>
        <v>81.524588488133062</v>
      </c>
      <c r="I85" s="73">
        <f t="shared" si="5"/>
        <v>81.524588488133062</v>
      </c>
      <c r="J85" s="73">
        <f t="shared" si="9"/>
        <v>3.4916006185745176E-2</v>
      </c>
      <c r="K85" s="73">
        <f t="shared" si="10"/>
        <v>0.27425311775007405</v>
      </c>
      <c r="M85" s="56"/>
      <c r="N85" s="57"/>
      <c r="O85" s="58" t="b">
        <f t="shared" si="11"/>
        <v>0</v>
      </c>
      <c r="T85" s="85">
        <f>$U$33+$B$38/100</f>
        <v>101.25228</v>
      </c>
      <c r="U85" s="28">
        <f>$X$34</f>
        <v>4.2877969299373972E-2</v>
      </c>
    </row>
    <row r="86" spans="5:21" ht="15" x14ac:dyDescent="0.2">
      <c r="E86" s="72">
        <v>-0.4</v>
      </c>
      <c r="F86" s="73">
        <f t="shared" si="6"/>
        <v>83.947874806399</v>
      </c>
      <c r="G86" s="73">
        <f t="shared" si="7"/>
        <v>3.5986464315683253E-2</v>
      </c>
      <c r="H86" s="73">
        <f t="shared" si="8"/>
        <v>83.455829356519558</v>
      </c>
      <c r="I86" s="73">
        <f t="shared" si="5"/>
        <v>83.455829356519558</v>
      </c>
      <c r="J86" s="73">
        <f t="shared" si="9"/>
        <v>3.7695190971109127E-2</v>
      </c>
      <c r="K86" s="73">
        <f t="shared" si="10"/>
        <v>0.34457825838967615</v>
      </c>
      <c r="M86" s="56"/>
      <c r="N86" s="57"/>
      <c r="O86" s="58" t="b">
        <f t="shared" si="11"/>
        <v>0</v>
      </c>
      <c r="T86" s="85">
        <f>$U$34-$B$38/100</f>
        <v>103.23972000000001</v>
      </c>
      <c r="U86" s="28">
        <f>$X$34</f>
        <v>4.2877969299373972E-2</v>
      </c>
    </row>
    <row r="87" spans="5:21" ht="15" x14ac:dyDescent="0.2">
      <c r="E87" s="72">
        <v>-0.2</v>
      </c>
      <c r="F87" s="73">
        <f t="shared" si="6"/>
        <v>85.994589577112549</v>
      </c>
      <c r="G87" s="73">
        <f t="shared" si="7"/>
        <v>3.8211742991342938E-2</v>
      </c>
      <c r="H87" s="73">
        <f t="shared" si="8"/>
        <v>85.432819505716836</v>
      </c>
      <c r="I87" s="73">
        <f t="shared" si="5"/>
        <v>85.432819505716836</v>
      </c>
      <c r="J87" s="73">
        <f t="shared" si="9"/>
        <v>3.9099891721053291E-2</v>
      </c>
      <c r="K87" s="73">
        <f t="shared" si="10"/>
        <v>0.42074029056089712</v>
      </c>
      <c r="M87" s="56"/>
      <c r="N87" s="57"/>
      <c r="O87" s="58" t="b">
        <f t="shared" si="11"/>
        <v>0</v>
      </c>
      <c r="T87" s="85">
        <f>$U$34+$B$38/100</f>
        <v>103.28028</v>
      </c>
      <c r="U87" s="28">
        <f>$X$35</f>
        <v>1.0719492324843493E-2</v>
      </c>
    </row>
    <row r="88" spans="5:21" ht="15" x14ac:dyDescent="0.2">
      <c r="E88" s="72">
        <v>0</v>
      </c>
      <c r="F88" s="73">
        <f t="shared" si="6"/>
        <v>88.041304347826085</v>
      </c>
      <c r="G88" s="73">
        <f t="shared" si="7"/>
        <v>3.8983671404526049E-2</v>
      </c>
      <c r="H88" s="73">
        <f t="shared" si="8"/>
        <v>87.456642693183085</v>
      </c>
      <c r="I88" s="73">
        <f t="shared" si="5"/>
        <v>87.456642693183085</v>
      </c>
      <c r="J88" s="73">
        <f t="shared" si="9"/>
        <v>3.8966677956504166E-2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105.26772000000001</v>
      </c>
      <c r="U88" s="28">
        <f>$X$35</f>
        <v>1.0719492324843493E-2</v>
      </c>
    </row>
    <row r="89" spans="5:21" ht="15" x14ac:dyDescent="0.2">
      <c r="E89" s="72">
        <v>0.2</v>
      </c>
      <c r="F89" s="73">
        <f t="shared" si="6"/>
        <v>90.08801911853962</v>
      </c>
      <c r="G89" s="73">
        <f t="shared" si="7"/>
        <v>3.8211742991342938E-2</v>
      </c>
      <c r="H89" s="73">
        <f t="shared" si="8"/>
        <v>89.528408349571961</v>
      </c>
      <c r="I89" s="73">
        <f t="shared" si="5"/>
        <v>89.528408349571961</v>
      </c>
      <c r="J89" s="73">
        <f t="shared" si="9"/>
        <v>3.7311218345967477E-2</v>
      </c>
      <c r="K89" s="73">
        <f t="shared" si="10"/>
        <v>0.57925970943910288</v>
      </c>
      <c r="M89" s="56"/>
      <c r="N89" s="57"/>
      <c r="O89" s="58" t="b">
        <f t="shared" si="11"/>
        <v>0</v>
      </c>
      <c r="T89" s="85">
        <f>$U$35+$B$38/100</f>
        <v>105.30828000000001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92.13473388925317</v>
      </c>
      <c r="G90" s="73">
        <f t="shared" si="7"/>
        <v>3.5986464315683253E-2</v>
      </c>
      <c r="H90" s="73">
        <f t="shared" si="8"/>
        <v>91.649252186906466</v>
      </c>
      <c r="I90" s="73">
        <f t="shared" si="5"/>
        <v>91.649252186906466</v>
      </c>
      <c r="J90" s="73">
        <f t="shared" si="9"/>
        <v>3.4325249253869407E-2</v>
      </c>
      <c r="K90" s="73">
        <f t="shared" si="10"/>
        <v>0.65542174161032385</v>
      </c>
      <c r="M90" s="56"/>
      <c r="N90" s="57"/>
      <c r="O90" s="58" t="b">
        <f t="shared" si="11"/>
        <v>0</v>
      </c>
      <c r="T90" s="85">
        <f>$U$36-$B$38/100</f>
        <v>107.29572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94.181448659966705</v>
      </c>
      <c r="G91" s="73">
        <f t="shared" si="7"/>
        <v>3.2561899455646033E-2</v>
      </c>
      <c r="H91" s="73">
        <f t="shared" si="8"/>
        <v>93.820336821159827</v>
      </c>
      <c r="I91" s="73">
        <f t="shared" si="5"/>
        <v>93.820336821159827</v>
      </c>
      <c r="J91" s="73">
        <f t="shared" si="9"/>
        <v>3.0340042813617296E-2</v>
      </c>
      <c r="K91" s="73">
        <f t="shared" si="10"/>
        <v>0.72574688224992601</v>
      </c>
      <c r="M91" s="56"/>
      <c r="N91" s="57"/>
      <c r="O91" s="58" t="b">
        <f t="shared" si="11"/>
        <v>0</v>
      </c>
      <c r="T91" s="85">
        <f>$U$36+$B$38/100</f>
        <v>107.33628</v>
      </c>
      <c r="U91" s="28">
        <f>$X$37</f>
        <v>2.1438984649686986E-2</v>
      </c>
    </row>
    <row r="92" spans="5:21" ht="15" x14ac:dyDescent="0.2">
      <c r="E92" s="72">
        <v>0.80000000000001004</v>
      </c>
      <c r="F92" s="73">
        <f t="shared" si="6"/>
        <v>96.228163430680354</v>
      </c>
      <c r="G92" s="73">
        <f t="shared" si="7"/>
        <v>2.8307955451993532E-2</v>
      </c>
      <c r="H92" s="73">
        <f t="shared" si="8"/>
        <v>96.042852409585024</v>
      </c>
      <c r="I92" s="73">
        <f t="shared" si="5"/>
        <v>96.042852409585024</v>
      </c>
      <c r="J92" s="73">
        <f t="shared" si="9"/>
        <v>2.5765993906686852E-2</v>
      </c>
      <c r="K92" s="73">
        <f t="shared" si="10"/>
        <v>0.78814460141660714</v>
      </c>
      <c r="M92" s="56"/>
      <c r="N92" s="57"/>
      <c r="O92" s="58" t="b">
        <f t="shared" si="11"/>
        <v>0</v>
      </c>
      <c r="T92" s="85">
        <f>$U$37-$B$38/100</f>
        <v>109.32372000000001</v>
      </c>
      <c r="U92" s="28">
        <f>$X$37</f>
        <v>2.1438984649686986E-2</v>
      </c>
    </row>
    <row r="93" spans="5:21" ht="15" x14ac:dyDescent="0.2">
      <c r="E93" s="72">
        <v>1.00000000000001</v>
      </c>
      <c r="F93" s="73">
        <f t="shared" si="6"/>
        <v>98.274878201393889</v>
      </c>
      <c r="G93" s="73">
        <f t="shared" si="7"/>
        <v>2.3644791935007473E-2</v>
      </c>
      <c r="H93" s="73">
        <f t="shared" si="8"/>
        <v>98.318017303141062</v>
      </c>
      <c r="I93" s="73">
        <f t="shared" si="5"/>
        <v>98.318017303141062</v>
      </c>
      <c r="J93" s="73">
        <f t="shared" si="9"/>
        <v>2.102353929385958E-2</v>
      </c>
      <c r="K93" s="73">
        <f t="shared" si="10"/>
        <v>0.84134474606854615</v>
      </c>
      <c r="M93" s="56"/>
      <c r="N93" s="57"/>
      <c r="O93" s="58" t="b">
        <f t="shared" si="11"/>
        <v>0</v>
      </c>
      <c r="T93" s="85">
        <f>$U$37+$B$38/100</f>
        <v>109.36428000000001</v>
      </c>
      <c r="U93" s="28">
        <f>$X$38</f>
        <v>1.0719492324843493E-2</v>
      </c>
    </row>
    <row r="94" spans="5:21" ht="15" x14ac:dyDescent="0.2">
      <c r="E94" s="72">
        <v>1.2000000000000099</v>
      </c>
      <c r="F94" s="73">
        <f t="shared" si="6"/>
        <v>100.32159297210742</v>
      </c>
      <c r="G94" s="73">
        <f t="shared" si="7"/>
        <v>1.8975390001755077E-2</v>
      </c>
      <c r="H94" s="73">
        <f t="shared" si="8"/>
        <v>100.64707871437646</v>
      </c>
      <c r="I94" s="73">
        <f t="shared" si="5"/>
        <v>100.64707871437646</v>
      </c>
      <c r="J94" s="73">
        <f t="shared" si="9"/>
        <v>1.6481357613591631E-2</v>
      </c>
      <c r="K94" s="73">
        <f t="shared" si="10"/>
        <v>0.88493032977829422</v>
      </c>
      <c r="M94" s="56"/>
      <c r="N94" s="57"/>
      <c r="O94" s="58" t="b">
        <f t="shared" si="11"/>
        <v>0</v>
      </c>
      <c r="T94" s="85">
        <f>$U$38-$B$38/100</f>
        <v>111.35172000000001</v>
      </c>
      <c r="U94" s="28">
        <f>$X$38</f>
        <v>1.0719492324843493E-2</v>
      </c>
    </row>
    <row r="95" spans="5:21" ht="15" x14ac:dyDescent="0.2">
      <c r="E95" s="72">
        <v>1.4000000000000099</v>
      </c>
      <c r="F95" s="73">
        <f t="shared" si="6"/>
        <v>102.36830774282097</v>
      </c>
      <c r="G95" s="73">
        <f t="shared" si="7"/>
        <v>1.463100455209434E-2</v>
      </c>
      <c r="H95" s="73">
        <f t="shared" si="8"/>
        <v>103.03131340113248</v>
      </c>
      <c r="I95" s="73">
        <f t="shared" si="5"/>
        <v>103.03131340113248</v>
      </c>
      <c r="J95" s="73">
        <f t="shared" si="9"/>
        <v>1.2413903225773095E-2</v>
      </c>
      <c r="K95" s="73">
        <f t="shared" si="10"/>
        <v>0.91924334076623071</v>
      </c>
      <c r="M95" s="56"/>
      <c r="N95" s="57"/>
      <c r="O95" s="58" t="b">
        <f t="shared" si="11"/>
        <v>0</v>
      </c>
      <c r="T95" s="85">
        <f>$U$38+$B$38/100</f>
        <v>111.39228000000001</v>
      </c>
      <c r="U95" s="28">
        <f>$X$39</f>
        <v>0</v>
      </c>
    </row>
    <row r="96" spans="5:21" ht="15" x14ac:dyDescent="0.2">
      <c r="E96" s="72">
        <v>1.6000000000000101</v>
      </c>
      <c r="F96" s="73">
        <f t="shared" si="6"/>
        <v>104.41502251353451</v>
      </c>
      <c r="G96" s="73">
        <f t="shared" si="7"/>
        <v>1.0838914759068629E-2</v>
      </c>
      <c r="H96" s="73">
        <f t="shared" si="8"/>
        <v>105.47202836644345</v>
      </c>
      <c r="I96" s="73">
        <f t="shared" si="5"/>
        <v>105.47202836644345</v>
      </c>
      <c r="J96" s="73">
        <f t="shared" si="9"/>
        <v>8.9836319042116766E-3</v>
      </c>
      <c r="K96" s="73">
        <f t="shared" si="10"/>
        <v>0.94520070830044334</v>
      </c>
      <c r="M96" s="56"/>
      <c r="N96" s="57"/>
      <c r="O96" s="58" t="b">
        <f t="shared" si="11"/>
        <v>0</v>
      </c>
      <c r="T96" s="85">
        <f>$U$39-$B$38/100</f>
        <v>113.37972000000001</v>
      </c>
      <c r="U96" s="28">
        <f>$X$39</f>
        <v>0</v>
      </c>
    </row>
    <row r="97" spans="5:21" ht="15" x14ac:dyDescent="0.2">
      <c r="E97" s="72">
        <v>1.80000000000001</v>
      </c>
      <c r="F97" s="73">
        <f t="shared" si="6"/>
        <v>106.46173728424804</v>
      </c>
      <c r="G97" s="73">
        <f t="shared" si="7"/>
        <v>7.7148178564586823E-3</v>
      </c>
      <c r="H97" s="73">
        <f t="shared" si="8"/>
        <v>107.97056157501703</v>
      </c>
      <c r="I97" s="73">
        <f t="shared" si="5"/>
        <v>107.97056157501703</v>
      </c>
      <c r="J97" s="73">
        <f t="shared" si="9"/>
        <v>6.246313289725575E-3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113.42028000000001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108.50845205496159</v>
      </c>
      <c r="G98" s="73">
        <f t="shared" si="7"/>
        <v>5.2758662111344647E-3</v>
      </c>
      <c r="H98" s="73">
        <f t="shared" si="8"/>
        <v>110.52828268668711</v>
      </c>
      <c r="I98" s="73">
        <f t="shared" si="5"/>
        <v>110.52828268668711</v>
      </c>
      <c r="J98" s="73">
        <f t="shared" si="9"/>
        <v>4.172763757661479E-3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110.55516682567513</v>
      </c>
      <c r="G99" s="73">
        <f t="shared" si="7"/>
        <v>3.4664911157956083E-3</v>
      </c>
      <c r="H99" s="73">
        <f t="shared" si="8"/>
        <v>113.14659380724159</v>
      </c>
      <c r="I99" s="73">
        <f t="shared" si="5"/>
        <v>113.14659380724159</v>
      </c>
      <c r="J99" s="73">
        <f t="shared" si="9"/>
        <v>2.6782557945905063E-3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112.60188159638867</v>
      </c>
      <c r="G100" s="73">
        <f t="shared" si="7"/>
        <v>2.1883391486968223E-3</v>
      </c>
      <c r="H100" s="73">
        <f t="shared" si="8"/>
        <v>115.82693025703648</v>
      </c>
      <c r="I100" s="73">
        <f t="shared" si="5"/>
        <v>115.82693025703648</v>
      </c>
      <c r="J100" s="73">
        <f t="shared" si="9"/>
        <v>1.6516139008116095E-3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114.64859636710221</v>
      </c>
      <c r="G101" s="73">
        <f t="shared" si="7"/>
        <v>1.3272947875340598E-3</v>
      </c>
      <c r="H101" s="73">
        <f t="shared" si="8"/>
        <v>118.57076135781783</v>
      </c>
      <c r="I101" s="73">
        <f t="shared" si="5"/>
        <v>118.57076135781783</v>
      </c>
      <c r="J101" s="73">
        <f t="shared" si="9"/>
        <v>9.7857299446692421E-4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116.69531113781575</v>
      </c>
      <c r="G102" s="73">
        <f t="shared" si="7"/>
        <v>7.7347871782057855E-4</v>
      </c>
      <c r="H102" s="73">
        <f t="shared" si="8"/>
        <v>121.37959123818273</v>
      </c>
      <c r="I102" s="73">
        <f t="shared" si="5"/>
        <v>121.37959123818273</v>
      </c>
      <c r="J102" s="73">
        <f t="shared" si="9"/>
        <v>5.5706534789431766E-4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118.74202590852929</v>
      </c>
      <c r="G103" s="73">
        <f t="shared" si="7"/>
        <v>4.3306947068084322E-4</v>
      </c>
      <c r="H103" s="73">
        <f t="shared" si="8"/>
        <v>124.25495965812082</v>
      </c>
      <c r="I103" s="73">
        <f t="shared" si="5"/>
        <v>124.25495965812082</v>
      </c>
      <c r="J103" s="73">
        <f t="shared" si="9"/>
        <v>3.0468234011938049E-4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120.78874067924284</v>
      </c>
      <c r="G104" s="73">
        <f t="shared" si="7"/>
        <v>2.3296731284482851E-4</v>
      </c>
      <c r="H104" s="73">
        <f t="shared" si="8"/>
        <v>127.19844285308855</v>
      </c>
      <c r="I104" s="73">
        <f t="shared" si="5"/>
        <v>127.19844285308855</v>
      </c>
      <c r="J104" s="73">
        <f t="shared" si="9"/>
        <v>1.6010933056188531E-4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122.83545544995637</v>
      </c>
      <c r="G105" s="73">
        <f t="shared" si="7"/>
        <v>1.2040946653679477E-4</v>
      </c>
      <c r="H105" s="73">
        <f t="shared" si="8"/>
        <v>130.21165439807865</v>
      </c>
      <c r="I105" s="73">
        <f t="shared" si="5"/>
        <v>130.21165439807865</v>
      </c>
      <c r="J105" s="73">
        <f t="shared" si="9"/>
        <v>8.0837750835462786E-5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124.88217022066991</v>
      </c>
      <c r="G106" s="73">
        <f t="shared" si="7"/>
        <v>5.9793571519535732E-5</v>
      </c>
      <c r="H106" s="73">
        <f t="shared" si="8"/>
        <v>133.29624609215867</v>
      </c>
      <c r="I106" s="73">
        <f t="shared" si="5"/>
        <v>133.29624609215867</v>
      </c>
      <c r="J106" s="73">
        <f t="shared" si="9"/>
        <v>3.9213898658190938E-5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126.92888499138346</v>
      </c>
      <c r="G107" s="73">
        <f t="shared" si="7"/>
        <v>2.8528345030672593E-5</v>
      </c>
      <c r="H107" s="73">
        <f t="shared" si="8"/>
        <v>136.45390886396356</v>
      </c>
      <c r="I107" s="73">
        <f t="shared" si="5"/>
        <v>136.45390886396356</v>
      </c>
      <c r="J107" s="73">
        <f t="shared" si="9"/>
        <v>1.8276542616959881E-5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128.97559976209698</v>
      </c>
      <c r="G108" s="73">
        <f t="shared" si="7"/>
        <v>1.3077564854649898E-5</v>
      </c>
      <c r="H108" s="73">
        <f t="shared" si="8"/>
        <v>139.68637369863774</v>
      </c>
      <c r="I108" s="73">
        <f t="shared" si="5"/>
        <v>139.68637369863774</v>
      </c>
      <c r="J108" s="73">
        <f t="shared" si="9"/>
        <v>8.1842009735542522E-6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131.02231453281053</v>
      </c>
      <c r="G109" s="73">
        <f t="shared" si="7"/>
        <v>5.7597735258429298E-6</v>
      </c>
      <c r="H109" s="73">
        <f t="shared" si="8"/>
        <v>142.99541258673696</v>
      </c>
      <c r="I109" s="73">
        <f t="shared" si="5"/>
        <v>142.99541258673696</v>
      </c>
      <c r="J109" s="73">
        <f t="shared" si="9"/>
        <v>3.5211680152006185E-6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133.06902930352408</v>
      </c>
      <c r="G110" s="73">
        <f t="shared" si="7"/>
        <v>2.4373177588743199E-6</v>
      </c>
      <c r="H110" s="73">
        <f t="shared" si="8"/>
        <v>146.38283949560744</v>
      </c>
      <c r="I110" s="73">
        <f t="shared" si="5"/>
        <v>146.38283949560744</v>
      </c>
      <c r="J110" s="73">
        <f t="shared" si="9"/>
        <v>1.4555443129372639E-6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135.11574407423763</v>
      </c>
      <c r="G111" s="73">
        <f t="shared" si="7"/>
        <v>9.9093945190524462E-7</v>
      </c>
      <c r="H111" s="73">
        <f t="shared" si="8"/>
        <v>149.85051136377675</v>
      </c>
      <c r="I111" s="73">
        <f t="shared" si="5"/>
        <v>149.85051136377675</v>
      </c>
      <c r="J111" s="73">
        <f t="shared" si="9"/>
        <v>5.7808584576134574E-7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137.16245884495115</v>
      </c>
      <c r="G112" s="73">
        <f t="shared" si="7"/>
        <v>3.8708853306910723E-7</v>
      </c>
      <c r="H112" s="73">
        <f t="shared" si="8"/>
        <v>153.40032911890063</v>
      </c>
      <c r="I112" s="73">
        <f t="shared" si="5"/>
        <v>153.40032911890063</v>
      </c>
      <c r="J112" s="73">
        <f t="shared" si="9"/>
        <v>2.2059083309981896E-7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139.20917361566461</v>
      </c>
      <c r="G113" s="73">
        <f t="shared" si="7"/>
        <v>1.4527862269894831E-7</v>
      </c>
      <c r="H113" s="73">
        <f t="shared" si="8"/>
        <v>157.0342387198238</v>
      </c>
      <c r="I113" s="73">
        <f t="shared" si="5"/>
        <v>157.0342387198238</v>
      </c>
      <c r="J113" s="73">
        <f t="shared" si="9"/>
        <v>8.0874350622669629E-8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0.23460496985763746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31.167324236479431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1.4112162947885855E-3</v>
      </c>
      <c r="H120" s="69" t="s">
        <v>50</v>
      </c>
      <c r="I120" s="79">
        <f>IF($B$9&gt;3,INDEX(XX!$C$4:$C$150,$B$9))</f>
        <v>0.28160000000000002</v>
      </c>
      <c r="J120" s="79">
        <f>IF($B$9&gt;3,INDEX(XX!$D$4:$D$150,$B$9))</f>
        <v>0.36459999999999998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66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42696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8" t="b">
        <f t="shared" si="13"/>
        <v>0</v>
      </c>
    </row>
  </sheetData>
  <sheetProtection sheet="1" objects="1" scenarios="1" selectLockedCells="1"/>
  <mergeCells count="9">
    <mergeCell ref="A25:C25"/>
    <mergeCell ref="A35:C35"/>
    <mergeCell ref="A1:C2"/>
    <mergeCell ref="E23:G23"/>
    <mergeCell ref="E1:G1"/>
    <mergeCell ref="B4:C4"/>
    <mergeCell ref="B3:C3"/>
    <mergeCell ref="A8:C8"/>
    <mergeCell ref="A15:C15"/>
  </mergeCells>
  <phoneticPr fontId="1" type="noConversion"/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ignoredErrors>
    <ignoredError sqref="B3:C4" unlockedFormula="1"/>
  </ignoredError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137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35830</v>
      </c>
      <c r="N3" s="57">
        <v>10</v>
      </c>
      <c r="O3" s="58">
        <f t="shared" ref="O3:O66" si="0">IF($N3&gt;0,LN($N3+$B$26))</f>
        <v>2.3025850929940459</v>
      </c>
      <c r="T3" s="69" t="s">
        <v>109</v>
      </c>
      <c r="U3" s="82">
        <f>$B$21</f>
        <v>23.174083975872854</v>
      </c>
      <c r="V3" s="82">
        <f t="shared" ref="V3:V10" si="1">U3</f>
        <v>23.174083975872854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35920</v>
      </c>
      <c r="N4" s="57">
        <v>10</v>
      </c>
      <c r="O4" s="58">
        <f t="shared" si="0"/>
        <v>2.3025850929940459</v>
      </c>
      <c r="T4" s="69" t="s">
        <v>111</v>
      </c>
      <c r="U4" s="82">
        <f>$B$31</f>
        <v>16.685406577366887</v>
      </c>
      <c r="V4" s="82">
        <f t="shared" si="1"/>
        <v>16.685406577366887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36012</v>
      </c>
      <c r="N5" s="57">
        <v>10</v>
      </c>
      <c r="O5" s="58">
        <f t="shared" si="0"/>
        <v>2.3025850929940459</v>
      </c>
      <c r="T5" s="69" t="s">
        <v>110</v>
      </c>
      <c r="U5" s="82">
        <f>$B$22</f>
        <v>25.607588128898264</v>
      </c>
      <c r="V5" s="82">
        <f t="shared" si="1"/>
        <v>25.607588128898264</v>
      </c>
    </row>
    <row r="6" spans="1:24" ht="15" customHeight="1" x14ac:dyDescent="0.25">
      <c r="A6" s="107" t="s">
        <v>18</v>
      </c>
      <c r="B6" s="116">
        <v>10</v>
      </c>
      <c r="C6" s="18"/>
      <c r="M6" s="56">
        <v>36102</v>
      </c>
      <c r="N6" s="57">
        <v>10</v>
      </c>
      <c r="O6" s="58">
        <f t="shared" si="0"/>
        <v>2.3025850929940459</v>
      </c>
      <c r="T6" s="69" t="s">
        <v>29</v>
      </c>
      <c r="U6" s="82">
        <f>$B$32</f>
        <v>19.281690549716693</v>
      </c>
      <c r="V6" s="82">
        <f t="shared" si="1"/>
        <v>19.281690549716693</v>
      </c>
    </row>
    <row r="7" spans="1:24" ht="15" customHeight="1" x14ac:dyDescent="0.2">
      <c r="D7" s="4"/>
      <c r="F7" s="5"/>
      <c r="M7" s="56">
        <v>36284</v>
      </c>
      <c r="N7" s="57">
        <v>10</v>
      </c>
      <c r="O7" s="58">
        <f t="shared" si="0"/>
        <v>2.3025850929940459</v>
      </c>
      <c r="T7" s="69" t="s">
        <v>31</v>
      </c>
      <c r="U7" s="82">
        <f>$C$21</f>
        <v>-2.8618888539216343</v>
      </c>
      <c r="V7" s="82">
        <f t="shared" si="1"/>
        <v>-2.8618888539216343</v>
      </c>
    </row>
    <row r="8" spans="1:24" ht="15" customHeight="1" x14ac:dyDescent="0.25">
      <c r="A8" s="140" t="s">
        <v>12</v>
      </c>
      <c r="B8" s="140"/>
      <c r="C8" s="140"/>
      <c r="D8" s="4"/>
      <c r="M8" s="56">
        <v>36375</v>
      </c>
      <c r="N8" s="57">
        <v>50</v>
      </c>
      <c r="O8" s="58">
        <f t="shared" si="0"/>
        <v>3.912023005428146</v>
      </c>
      <c r="T8" s="69" t="s">
        <v>32</v>
      </c>
      <c r="U8" s="82">
        <f>$C$31</f>
        <v>1.539552561613474</v>
      </c>
      <c r="V8" s="82">
        <f t="shared" si="1"/>
        <v>1.539552561613474</v>
      </c>
    </row>
    <row r="9" spans="1:24" ht="15" customHeight="1" x14ac:dyDescent="0.2">
      <c r="A9" s="101" t="s">
        <v>11</v>
      </c>
      <c r="B9" s="59">
        <f>COUNT($M$3:$M252)</f>
        <v>41</v>
      </c>
      <c r="C9" s="60"/>
      <c r="D9" s="4"/>
      <c r="M9" s="56">
        <v>36467</v>
      </c>
      <c r="N9" s="57">
        <v>10</v>
      </c>
      <c r="O9" s="58">
        <f t="shared" si="0"/>
        <v>2.3025850929940459</v>
      </c>
      <c r="T9" s="69" t="s">
        <v>112</v>
      </c>
      <c r="U9" s="82">
        <f>$C$22</f>
        <v>-5.2953930069470463</v>
      </c>
      <c r="V9" s="82">
        <f t="shared" si="1"/>
        <v>-5.2953930069470463</v>
      </c>
    </row>
    <row r="10" spans="1:24" ht="15" customHeight="1" x14ac:dyDescent="0.2">
      <c r="A10" s="102" t="s">
        <v>7</v>
      </c>
      <c r="B10" s="61">
        <f>MIN($N$3:$N$252)</f>
        <v>5</v>
      </c>
      <c r="C10" s="60"/>
      <c r="D10" s="4"/>
      <c r="M10" s="56">
        <v>36564</v>
      </c>
      <c r="N10" s="57">
        <v>10</v>
      </c>
      <c r="O10" s="58">
        <f t="shared" si="0"/>
        <v>2.3025850929940459</v>
      </c>
      <c r="T10" s="69" t="s">
        <v>113</v>
      </c>
      <c r="U10" s="82">
        <f>$C$32</f>
        <v>1.4099668558849401</v>
      </c>
      <c r="V10" s="82">
        <f t="shared" si="1"/>
        <v>1.4099668558849401</v>
      </c>
    </row>
    <row r="11" spans="1:24" ht="15" customHeight="1" x14ac:dyDescent="0.2">
      <c r="A11" s="102" t="s">
        <v>8</v>
      </c>
      <c r="B11" s="61">
        <f>MAX($N$3:$N$252)</f>
        <v>50</v>
      </c>
      <c r="C11" s="60"/>
      <c r="D11" s="4"/>
      <c r="M11" s="56">
        <v>36657</v>
      </c>
      <c r="N11" s="57">
        <v>10</v>
      </c>
      <c r="O11" s="58">
        <f t="shared" si="0"/>
        <v>2.3025850929940459</v>
      </c>
      <c r="T11" s="69" t="s">
        <v>68</v>
      </c>
      <c r="U11" s="82">
        <f>$B$12</f>
        <v>10</v>
      </c>
      <c r="V11" s="82">
        <f>U11</f>
        <v>10</v>
      </c>
    </row>
    <row r="12" spans="1:24" ht="15" customHeight="1" x14ac:dyDescent="0.2">
      <c r="A12" s="102" t="s">
        <v>68</v>
      </c>
      <c r="B12" s="62">
        <f>MEDIAN($N$3:$N$252)</f>
        <v>10</v>
      </c>
      <c r="C12" s="50"/>
      <c r="D12" s="4"/>
      <c r="M12" s="56">
        <v>36740</v>
      </c>
      <c r="N12" s="57">
        <v>10</v>
      </c>
      <c r="O12" s="58">
        <f t="shared" si="0"/>
        <v>2.3025850929940459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36846</v>
      </c>
      <c r="N13" s="57">
        <v>10</v>
      </c>
      <c r="O13" s="58">
        <f t="shared" si="0"/>
        <v>2.3025850929940459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36928</v>
      </c>
      <c r="N14" s="57">
        <v>8</v>
      </c>
      <c r="O14" s="58">
        <f t="shared" si="0"/>
        <v>2.0794415416798357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37022</v>
      </c>
      <c r="N15" s="57">
        <v>10</v>
      </c>
      <c r="O15" s="58">
        <f t="shared" si="0"/>
        <v>2.3025850929940459</v>
      </c>
      <c r="T15" s="69">
        <v>1</v>
      </c>
      <c r="U15" s="77">
        <f t="shared" ref="U15:U39" si="3">$B$36+T15*$B$38</f>
        <v>2.1</v>
      </c>
      <c r="V15" s="84">
        <f>FREQUENCY($N$3:$N$252,$U$15:$U$39)</f>
        <v>0</v>
      </c>
      <c r="W15" s="79">
        <f t="shared" ref="W15:W39" si="4">(U15+U14)/2</f>
        <v>1.05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10.15609756097561</v>
      </c>
      <c r="C16" s="60"/>
      <c r="M16" s="56">
        <v>37104</v>
      </c>
      <c r="N16" s="57">
        <v>10</v>
      </c>
      <c r="O16" s="58">
        <f t="shared" si="0"/>
        <v>2.3025850929940459</v>
      </c>
      <c r="T16" s="69">
        <v>2</v>
      </c>
      <c r="U16" s="77">
        <f t="shared" si="3"/>
        <v>4.2</v>
      </c>
      <c r="V16" s="84">
        <f t="array" ref="V16:V40">FREQUENCY($N$3:$N$252,$U$15:$U$39)</f>
        <v>0</v>
      </c>
      <c r="W16" s="79">
        <f t="shared" si="4"/>
        <v>3.1500000000000004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6.6419518509429061</v>
      </c>
      <c r="C17" s="60"/>
      <c r="D17" s="4"/>
      <c r="M17" s="56">
        <v>37201</v>
      </c>
      <c r="N17" s="57">
        <v>11</v>
      </c>
      <c r="O17" s="58">
        <f t="shared" si="0"/>
        <v>2.3978952727983707</v>
      </c>
      <c r="T17" s="69">
        <v>3</v>
      </c>
      <c r="U17" s="77">
        <f t="shared" si="3"/>
        <v>6.3000000000000007</v>
      </c>
      <c r="V17" s="84">
        <v>0</v>
      </c>
      <c r="W17" s="79">
        <f t="shared" si="4"/>
        <v>5.25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2.4630702407639902E-2</v>
      </c>
      <c r="C18" s="114" t="s">
        <v>45</v>
      </c>
      <c r="D18" s="4"/>
      <c r="J18" s="6"/>
      <c r="M18" s="56">
        <v>37292</v>
      </c>
      <c r="N18" s="57">
        <v>10</v>
      </c>
      <c r="O18" s="58">
        <f t="shared" si="0"/>
        <v>2.3025850929940459</v>
      </c>
      <c r="T18" s="69">
        <v>4</v>
      </c>
      <c r="U18" s="77">
        <f t="shared" si="3"/>
        <v>8.4</v>
      </c>
      <c r="V18" s="84">
        <v>4</v>
      </c>
      <c r="W18" s="79">
        <f t="shared" si="4"/>
        <v>7.3500000000000005</v>
      </c>
      <c r="X18" s="80">
        <f t="shared" si="2"/>
        <v>4.6457607433217189E-2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37369</v>
      </c>
      <c r="N19" s="57">
        <v>5</v>
      </c>
      <c r="O19" s="58">
        <f t="shared" si="0"/>
        <v>1.6094379124341003</v>
      </c>
      <c r="T19" s="69">
        <v>5</v>
      </c>
      <c r="U19" s="77">
        <f t="shared" si="3"/>
        <v>10.5</v>
      </c>
      <c r="V19" s="84">
        <v>7</v>
      </c>
      <c r="W19" s="79">
        <f t="shared" si="4"/>
        <v>9.4499999999999993</v>
      </c>
      <c r="X19" s="80">
        <f t="shared" si="2"/>
        <v>8.1300813008130079E-2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37466</v>
      </c>
      <c r="N20" s="57">
        <v>10</v>
      </c>
      <c r="O20" s="58">
        <f t="shared" si="0"/>
        <v>2.3025850929940459</v>
      </c>
      <c r="T20" s="69">
        <v>6</v>
      </c>
      <c r="U20" s="77">
        <f t="shared" si="3"/>
        <v>12.600000000000001</v>
      </c>
      <c r="V20" s="84">
        <v>25</v>
      </c>
      <c r="W20" s="79">
        <f t="shared" si="4"/>
        <v>11.55</v>
      </c>
      <c r="X20" s="80">
        <f t="shared" si="2"/>
        <v>0.29036004645760743</v>
      </c>
    </row>
    <row r="21" spans="1:24" ht="15" customHeight="1" x14ac:dyDescent="0.2">
      <c r="A21" s="103" t="s">
        <v>76</v>
      </c>
      <c r="B21" s="62">
        <f>NORMINV(0.975,$B$16,$B$17)</f>
        <v>23.174083975872854</v>
      </c>
      <c r="C21" s="62">
        <f>NORMINV(0.025,$B$16,$B$17)</f>
        <v>-2.8618888539216343</v>
      </c>
      <c r="D21" s="4"/>
      <c r="M21" s="56">
        <v>37565</v>
      </c>
      <c r="N21" s="57">
        <v>5</v>
      </c>
      <c r="O21" s="58">
        <f t="shared" si="0"/>
        <v>1.6094379124341003</v>
      </c>
      <c r="T21" s="69">
        <v>7</v>
      </c>
      <c r="U21" s="77">
        <f t="shared" si="3"/>
        <v>14.700000000000001</v>
      </c>
      <c r="V21" s="84">
        <v>3</v>
      </c>
      <c r="W21" s="79">
        <f t="shared" si="4"/>
        <v>13.650000000000002</v>
      </c>
      <c r="X21" s="80">
        <f t="shared" si="2"/>
        <v>3.484320557491289E-2</v>
      </c>
    </row>
    <row r="22" spans="1:24" ht="15" customHeight="1" x14ac:dyDescent="0.2">
      <c r="A22" s="104" t="s">
        <v>77</v>
      </c>
      <c r="B22" s="62">
        <f>NORMINV(0.99,$B$16,$B$17)</f>
        <v>25.607588128898264</v>
      </c>
      <c r="C22" s="62">
        <f>NORMINV(0.01,B16,B17)</f>
        <v>-5.2953930069470463</v>
      </c>
      <c r="M22" s="56">
        <v>37656</v>
      </c>
      <c r="N22" s="57">
        <v>8.9</v>
      </c>
      <c r="O22" s="58">
        <f t="shared" si="0"/>
        <v>2.1860512767380942</v>
      </c>
      <c r="T22" s="69">
        <v>8</v>
      </c>
      <c r="U22" s="77">
        <f t="shared" si="3"/>
        <v>16.8</v>
      </c>
      <c r="V22" s="84">
        <v>1</v>
      </c>
      <c r="W22" s="79">
        <f t="shared" si="4"/>
        <v>15.75</v>
      </c>
      <c r="X22" s="80">
        <f t="shared" si="2"/>
        <v>1.1614401858304297E-2</v>
      </c>
    </row>
    <row r="23" spans="1:24" ht="15" customHeight="1" x14ac:dyDescent="0.25">
      <c r="A23" s="112" t="s">
        <v>81</v>
      </c>
      <c r="B23" s="96">
        <f>MAX($B$22+0.5*$B$6,$B$6)</f>
        <v>30.607588128898264</v>
      </c>
      <c r="E23" s="144" t="s">
        <v>80</v>
      </c>
      <c r="F23" s="144"/>
      <c r="G23" s="144"/>
      <c r="M23" s="56">
        <v>37768</v>
      </c>
      <c r="N23" s="57">
        <v>5.4</v>
      </c>
      <c r="O23" s="58">
        <f t="shared" si="0"/>
        <v>1.6863989535702288</v>
      </c>
      <c r="T23" s="69">
        <v>9</v>
      </c>
      <c r="U23" s="77">
        <f t="shared" si="3"/>
        <v>18.900000000000002</v>
      </c>
      <c r="V23" s="84">
        <v>0</v>
      </c>
      <c r="W23" s="79">
        <f t="shared" si="4"/>
        <v>17.850000000000001</v>
      </c>
      <c r="X23" s="80">
        <f t="shared" si="2"/>
        <v>0</v>
      </c>
    </row>
    <row r="24" spans="1:24" ht="15" customHeight="1" x14ac:dyDescent="0.2">
      <c r="M24" s="56">
        <v>37846</v>
      </c>
      <c r="N24" s="57">
        <v>14</v>
      </c>
      <c r="O24" s="58">
        <f t="shared" si="0"/>
        <v>2.6390573296152584</v>
      </c>
      <c r="T24" s="69">
        <v>10</v>
      </c>
      <c r="U24" s="77">
        <f t="shared" si="3"/>
        <v>21</v>
      </c>
      <c r="V24" s="84">
        <v>0</v>
      </c>
      <c r="W24" s="79">
        <f t="shared" si="4"/>
        <v>19.950000000000003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37935</v>
      </c>
      <c r="N25" s="57">
        <v>9</v>
      </c>
      <c r="O25" s="58">
        <f t="shared" si="0"/>
        <v>2.1972245773362196</v>
      </c>
      <c r="Q25" s="75" t="s">
        <v>68</v>
      </c>
      <c r="R25" s="75">
        <f>MEDIAN($O$3:$O$252)</f>
        <v>2.3025850929940459</v>
      </c>
      <c r="T25" s="69">
        <v>11</v>
      </c>
      <c r="U25" s="77">
        <f t="shared" si="3"/>
        <v>23.1</v>
      </c>
      <c r="V25" s="84">
        <v>0</v>
      </c>
      <c r="W25" s="79">
        <f t="shared" si="4"/>
        <v>22.05</v>
      </c>
      <c r="X25" s="80">
        <f t="shared" si="2"/>
        <v>0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38020</v>
      </c>
      <c r="N26" s="57">
        <v>7</v>
      </c>
      <c r="O26" s="58">
        <f t="shared" si="0"/>
        <v>1.9459101490553132</v>
      </c>
      <c r="Q26" s="75" t="s">
        <v>73</v>
      </c>
      <c r="R26" s="75">
        <f>AVERAGE($O$3:$O$252)</f>
        <v>2.2327689486254538</v>
      </c>
      <c r="T26" s="69">
        <v>12</v>
      </c>
      <c r="U26" s="77">
        <f t="shared" si="3"/>
        <v>25.200000000000003</v>
      </c>
      <c r="V26" s="84">
        <v>0</v>
      </c>
      <c r="W26" s="79">
        <f t="shared" si="4"/>
        <v>24.150000000000002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9.3256526152019834</v>
      </c>
      <c r="C27" s="62"/>
      <c r="E27" s="7" t="e">
        <f>STDEV(C50:C199)</f>
        <v>#DIV/0!</v>
      </c>
      <c r="F27" s="7" t="e">
        <f>NORMINV(0.025,$E26,$E27)</f>
        <v>#DIV/0!</v>
      </c>
      <c r="M27" s="56">
        <v>38111</v>
      </c>
      <c r="N27" s="57">
        <v>8</v>
      </c>
      <c r="O27" s="58">
        <f t="shared" si="0"/>
        <v>2.0794415416798357</v>
      </c>
      <c r="Q27" s="75" t="s">
        <v>104</v>
      </c>
      <c r="R27" s="75">
        <f>STDEV($O$3:$O$252)</f>
        <v>0.35368832921420107</v>
      </c>
      <c r="T27" s="69">
        <v>13</v>
      </c>
      <c r="U27" s="77">
        <f t="shared" si="3"/>
        <v>27.3</v>
      </c>
      <c r="V27" s="84">
        <v>0</v>
      </c>
      <c r="W27" s="79">
        <f t="shared" si="4"/>
        <v>26.25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-0.20687667825514519</v>
      </c>
      <c r="C28" s="115" t="s">
        <v>45</v>
      </c>
      <c r="F28" s="7" t="e">
        <f>NORMINV(0.01,$E$26,$E$27)</f>
        <v>#DIV/0!</v>
      </c>
      <c r="M28" s="56">
        <v>38204</v>
      </c>
      <c r="N28" s="57">
        <v>10</v>
      </c>
      <c r="O28" s="58">
        <f t="shared" si="0"/>
        <v>2.3025850929940459</v>
      </c>
      <c r="Q28" s="75" t="s">
        <v>108</v>
      </c>
      <c r="R28" s="75">
        <f>NORMINV(0.025,$R$26,$R$27)</f>
        <v>1.539552561613474</v>
      </c>
      <c r="T28" s="69">
        <v>14</v>
      </c>
      <c r="U28" s="77">
        <f t="shared" si="3"/>
        <v>29.400000000000002</v>
      </c>
      <c r="V28" s="84">
        <v>0</v>
      </c>
      <c r="W28" s="79">
        <f t="shared" si="4"/>
        <v>28.35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38313</v>
      </c>
      <c r="N29" s="57">
        <v>9</v>
      </c>
      <c r="O29" s="58">
        <f t="shared" si="0"/>
        <v>2.1972245773362196</v>
      </c>
      <c r="Q29" s="75" t="s">
        <v>107</v>
      </c>
      <c r="R29" s="75">
        <f>NORMINV(0.01,$R$26,$R$27)</f>
        <v>1.4099668558849401</v>
      </c>
      <c r="T29" s="69">
        <v>15</v>
      </c>
      <c r="U29" s="77">
        <f t="shared" si="3"/>
        <v>31.5</v>
      </c>
      <c r="V29" s="84">
        <v>0</v>
      </c>
      <c r="W29" s="79">
        <f t="shared" si="4"/>
        <v>30.450000000000003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38384</v>
      </c>
      <c r="N30" s="57">
        <v>9</v>
      </c>
      <c r="O30" s="58">
        <f t="shared" si="0"/>
        <v>2.1972245773362196</v>
      </c>
      <c r="Q30" s="75" t="s">
        <v>105</v>
      </c>
      <c r="R30" s="75">
        <f>NORMINV(0.95,$R$26,$R$27)</f>
        <v>2.8145344797438385</v>
      </c>
      <c r="T30" s="69">
        <v>16</v>
      </c>
      <c r="U30" s="77">
        <f t="shared" si="3"/>
        <v>33.6</v>
      </c>
      <c r="V30" s="84">
        <v>0</v>
      </c>
      <c r="W30" s="79">
        <f t="shared" si="4"/>
        <v>32.549999999999997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16.685406577366887</v>
      </c>
      <c r="C31" s="62">
        <f>NORMINV(0.025,$R$26,$R$27)</f>
        <v>1.539552561613474</v>
      </c>
      <c r="E31" s="7" t="e">
        <f>NORMINV(0.98,$E$26,$E$27)</f>
        <v>#DIV/0!</v>
      </c>
      <c r="M31" s="56">
        <v>38481</v>
      </c>
      <c r="N31" s="57">
        <v>7</v>
      </c>
      <c r="O31" s="58">
        <f t="shared" si="0"/>
        <v>1.9459101490553132</v>
      </c>
      <c r="Q31" s="75" t="s">
        <v>106</v>
      </c>
      <c r="R31" s="75">
        <f>NORMINV(0.98,$R$26,$R$27)</f>
        <v>2.9591559694523086</v>
      </c>
      <c r="T31" s="69">
        <v>17</v>
      </c>
      <c r="U31" s="77">
        <f t="shared" si="3"/>
        <v>35.700000000000003</v>
      </c>
      <c r="V31" s="84">
        <v>0</v>
      </c>
      <c r="W31" s="79">
        <f t="shared" si="4"/>
        <v>34.650000000000006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19.281690549716693</v>
      </c>
      <c r="C32" s="62">
        <f>NORMINV(0.01,$R$26,$R$27)</f>
        <v>1.4099668558849401</v>
      </c>
      <c r="M32" s="56">
        <v>38560</v>
      </c>
      <c r="N32" s="57">
        <v>10</v>
      </c>
      <c r="O32" s="58">
        <f t="shared" si="0"/>
        <v>2.3025850929940459</v>
      </c>
      <c r="T32" s="69">
        <v>18</v>
      </c>
      <c r="U32" s="77">
        <f t="shared" si="3"/>
        <v>37.800000000000004</v>
      </c>
      <c r="V32" s="84">
        <v>0</v>
      </c>
      <c r="W32" s="79">
        <f t="shared" si="4"/>
        <v>36.75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24.281690549716693</v>
      </c>
      <c r="M33" s="56">
        <v>38659</v>
      </c>
      <c r="N33" s="57">
        <v>7</v>
      </c>
      <c r="O33" s="58">
        <f t="shared" si="0"/>
        <v>1.9459101490553132</v>
      </c>
      <c r="T33" s="69">
        <v>19</v>
      </c>
      <c r="U33" s="77">
        <f t="shared" si="3"/>
        <v>39.9</v>
      </c>
      <c r="V33" s="84">
        <v>0</v>
      </c>
      <c r="W33" s="79">
        <f t="shared" si="4"/>
        <v>38.85</v>
      </c>
      <c r="X33" s="80">
        <f t="shared" si="2"/>
        <v>0</v>
      </c>
    </row>
    <row r="34" spans="1:24" ht="15" customHeight="1" x14ac:dyDescent="0.2">
      <c r="M34" s="56">
        <v>38748</v>
      </c>
      <c r="N34" s="57">
        <v>12</v>
      </c>
      <c r="O34" s="58">
        <f t="shared" si="0"/>
        <v>2.4849066497880004</v>
      </c>
      <c r="T34" s="69">
        <v>20</v>
      </c>
      <c r="U34" s="77">
        <f t="shared" si="3"/>
        <v>42</v>
      </c>
      <c r="V34" s="84">
        <v>0</v>
      </c>
      <c r="W34" s="79">
        <f t="shared" si="4"/>
        <v>40.950000000000003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38842</v>
      </c>
      <c r="N35" s="57">
        <v>8.4</v>
      </c>
      <c r="O35" s="58">
        <f t="shared" si="0"/>
        <v>2.1282317058492679</v>
      </c>
      <c r="T35" s="69">
        <v>21</v>
      </c>
      <c r="U35" s="77">
        <f t="shared" si="3"/>
        <v>44.1</v>
      </c>
      <c r="V35" s="84">
        <v>0</v>
      </c>
      <c r="W35" s="79">
        <f t="shared" si="4"/>
        <v>43.05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38948</v>
      </c>
      <c r="N36" s="57">
        <v>10</v>
      </c>
      <c r="O36" s="58">
        <f t="shared" si="0"/>
        <v>2.3025850929940459</v>
      </c>
      <c r="T36" s="69">
        <v>22</v>
      </c>
      <c r="U36" s="77">
        <f t="shared" si="3"/>
        <v>46.2</v>
      </c>
      <c r="V36" s="84">
        <v>0</v>
      </c>
      <c r="W36" s="79">
        <f t="shared" si="4"/>
        <v>45.150000000000006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52.5</v>
      </c>
      <c r="D37" s="8"/>
      <c r="E37" s="8"/>
      <c r="M37" s="56">
        <v>39021</v>
      </c>
      <c r="N37" s="57">
        <v>8.6999999999999993</v>
      </c>
      <c r="O37" s="58">
        <f t="shared" si="0"/>
        <v>2.1633230256605378</v>
      </c>
      <c r="T37" s="69">
        <v>23</v>
      </c>
      <c r="U37" s="77">
        <f t="shared" si="3"/>
        <v>48.300000000000004</v>
      </c>
      <c r="V37" s="84">
        <v>0</v>
      </c>
      <c r="W37" s="79">
        <f t="shared" si="4"/>
        <v>47.25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2.1</v>
      </c>
      <c r="M38" s="56">
        <v>39205</v>
      </c>
      <c r="N38" s="57">
        <v>10</v>
      </c>
      <c r="O38" s="58">
        <f t="shared" si="0"/>
        <v>2.3025850929940459</v>
      </c>
      <c r="T38" s="69">
        <v>24</v>
      </c>
      <c r="U38" s="77">
        <f t="shared" si="3"/>
        <v>50.400000000000006</v>
      </c>
      <c r="V38" s="84">
        <v>0</v>
      </c>
      <c r="W38" s="79">
        <f t="shared" si="4"/>
        <v>49.350000000000009</v>
      </c>
      <c r="X38" s="80">
        <f t="shared" si="2"/>
        <v>0</v>
      </c>
    </row>
    <row r="39" spans="1:24" ht="15" x14ac:dyDescent="0.2">
      <c r="M39" s="56">
        <v>39392</v>
      </c>
      <c r="N39" s="57">
        <v>8</v>
      </c>
      <c r="O39" s="58">
        <f t="shared" si="0"/>
        <v>2.0794415416798357</v>
      </c>
      <c r="T39" s="69">
        <v>25</v>
      </c>
      <c r="U39" s="77">
        <f t="shared" si="3"/>
        <v>52.5</v>
      </c>
      <c r="V39" s="84">
        <v>1</v>
      </c>
      <c r="W39" s="79">
        <f t="shared" si="4"/>
        <v>51.45</v>
      </c>
      <c r="X39" s="80">
        <f t="shared" si="2"/>
        <v>1.1614401858304297E-2</v>
      </c>
    </row>
    <row r="40" spans="1:24" ht="15" x14ac:dyDescent="0.2">
      <c r="M40" s="56">
        <v>39478</v>
      </c>
      <c r="N40" s="57">
        <v>10</v>
      </c>
      <c r="O40" s="58">
        <f t="shared" si="0"/>
        <v>2.3025850929940459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39940</v>
      </c>
      <c r="N41" s="57">
        <v>10</v>
      </c>
      <c r="O41" s="58">
        <f t="shared" si="0"/>
        <v>2.3025850929940459</v>
      </c>
    </row>
    <row r="42" spans="1:24" ht="15" x14ac:dyDescent="0.2">
      <c r="M42" s="56">
        <v>41410</v>
      </c>
      <c r="N42" s="57">
        <v>5</v>
      </c>
      <c r="O42" s="58">
        <f t="shared" si="0"/>
        <v>1.6094379124341003</v>
      </c>
    </row>
    <row r="43" spans="1:24" ht="15" x14ac:dyDescent="0.2">
      <c r="M43" s="56">
        <v>42132</v>
      </c>
      <c r="N43" s="57">
        <v>11</v>
      </c>
      <c r="O43" s="58">
        <f t="shared" si="0"/>
        <v>2.3978952727983707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-2.1000000000000001E-2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2.1000000000000001E-2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2.0790000000000002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2.121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4.1790000000000003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4.2210000000000001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6.2790000000000008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6.3210000000000006</v>
      </c>
      <c r="U53" s="28">
        <f>$X$18</f>
        <v>4.6457607433217189E-2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8.3789999999999996</v>
      </c>
      <c r="U54" s="28">
        <f>$X$18</f>
        <v>4.6457607433217189E-2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8.4210000000000012</v>
      </c>
      <c r="U55" s="28">
        <f>$X$19</f>
        <v>8.1300813008130079E-2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10.478999999999999</v>
      </c>
      <c r="U56" s="28">
        <f>$X$19</f>
        <v>8.1300813008130079E-2</v>
      </c>
    </row>
    <row r="57" spans="5:21" ht="15" x14ac:dyDescent="0.2">
      <c r="E57" s="70">
        <v>1</v>
      </c>
      <c r="F57" s="74">
        <f>$B$21</f>
        <v>23.174083975872854</v>
      </c>
      <c r="G57" s="74">
        <f>$C$21</f>
        <v>-2.8618888539216343</v>
      </c>
      <c r="H57" s="74">
        <f>$B$22</f>
        <v>25.607588128898264</v>
      </c>
      <c r="I57" s="74">
        <f>$C$22</f>
        <v>-5.2953930069470463</v>
      </c>
      <c r="J57" s="74">
        <f>$B$31</f>
        <v>16.685406577366887</v>
      </c>
      <c r="K57" s="74">
        <f>$B$32</f>
        <v>19.281690549716693</v>
      </c>
      <c r="M57" s="56"/>
      <c r="N57" s="57"/>
      <c r="O57" s="58" t="b">
        <f t="shared" si="0"/>
        <v>0</v>
      </c>
      <c r="T57" s="85">
        <f>$U$19+$B$38/100</f>
        <v>10.521000000000001</v>
      </c>
      <c r="U57" s="28">
        <f>$X$20</f>
        <v>0.29036004645760743</v>
      </c>
    </row>
    <row r="58" spans="5:21" ht="15" x14ac:dyDescent="0.2">
      <c r="E58" s="70">
        <v>73415</v>
      </c>
      <c r="F58" s="74">
        <f>$B$21</f>
        <v>23.174083975872854</v>
      </c>
      <c r="G58" s="74">
        <f>$C$21</f>
        <v>-2.8618888539216343</v>
      </c>
      <c r="H58" s="74">
        <f>$B$22</f>
        <v>25.607588128898264</v>
      </c>
      <c r="I58" s="74">
        <f>$C$22</f>
        <v>-5.2953930069470463</v>
      </c>
      <c r="J58" s="74">
        <f>$B$31</f>
        <v>16.685406577366887</v>
      </c>
      <c r="K58" s="74">
        <f>$B$32</f>
        <v>19.281690549716693</v>
      </c>
      <c r="M58" s="56"/>
      <c r="N58" s="57"/>
      <c r="O58" s="58" t="b">
        <f t="shared" si="0"/>
        <v>0</v>
      </c>
      <c r="T58" s="85">
        <f>$U$20-$B$38/100</f>
        <v>12.579000000000001</v>
      </c>
      <c r="U58" s="28">
        <f>$X$20</f>
        <v>0.29036004645760743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12.621000000000002</v>
      </c>
      <c r="U59" s="28">
        <f>$X$21</f>
        <v>3.484320557491289E-2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14.679</v>
      </c>
      <c r="U60" s="28">
        <f>$X$21</f>
        <v>3.484320557491289E-2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14.721000000000002</v>
      </c>
      <c r="U61" s="28">
        <f>$X$22</f>
        <v>1.1614401858304297E-2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16.779</v>
      </c>
      <c r="U62" s="28">
        <f>$X$22</f>
        <v>1.1614401858304297E-2</v>
      </c>
    </row>
    <row r="63" spans="5:21" ht="15" x14ac:dyDescent="0.2">
      <c r="E63" s="72">
        <v>-5</v>
      </c>
      <c r="F63" s="73">
        <f>$B$16+$E63*$B$17</f>
        <v>-23.053661693738917</v>
      </c>
      <c r="G63" s="73">
        <f>NORMDIST($F63,$B$16,$B$17,FALSE)</f>
        <v>2.2383774349753004E-7</v>
      </c>
      <c r="H63" s="73">
        <f>EXP($R$26+$E63*$R$27)</f>
        <v>1.5909436051388033</v>
      </c>
      <c r="I63" s="73">
        <f t="shared" ref="I63:I113" si="5">H63-$B$26</f>
        <v>1.5909436051388033</v>
      </c>
      <c r="J63" s="73">
        <f>1/$H63/SQRT(2*PI())/$R$27*EXP(-POWER(LN($H63)-$R$26,2)/2/POWER($R$27,2))</f>
        <v>2.6421260150565319E-6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16.821000000000002</v>
      </c>
      <c r="U63" s="28">
        <f>$X$23</f>
        <v>0</v>
      </c>
    </row>
    <row r="64" spans="5:21" ht="15" x14ac:dyDescent="0.2">
      <c r="E64" s="72">
        <v>-4.8</v>
      </c>
      <c r="F64" s="73">
        <f t="shared" ref="F64:F113" si="6">$B$16+$E64*$B$17</f>
        <v>-21.725271323550338</v>
      </c>
      <c r="G64" s="73">
        <f t="shared" ref="G64:G113" si="7">NORMDIST($F64,$B$16,$B$17,FALSE)</f>
        <v>5.9640587284138783E-7</v>
      </c>
      <c r="H64" s="73">
        <f t="shared" ref="H64:H113" si="8">EXP($R$26+$E64*$R$27)</f>
        <v>1.7075591760335203</v>
      </c>
      <c r="I64" s="73">
        <f t="shared" si="5"/>
        <v>1.7075591760335203</v>
      </c>
      <c r="J64" s="73">
        <f t="shared" ref="J64:J113" si="9">1/$H64/SQRT(2*PI())/$R$27*EXP(-POWER(LN($H64)-$R$26,2)/2/POWER($R$27,2))</f>
        <v>6.5590530208761258E-6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18.879000000000001</v>
      </c>
      <c r="U64" s="28">
        <f>$X$23</f>
        <v>0</v>
      </c>
    </row>
    <row r="65" spans="5:21" ht="15" x14ac:dyDescent="0.2">
      <c r="E65" s="72">
        <v>-4.5999999999999996</v>
      </c>
      <c r="F65" s="73">
        <f t="shared" si="6"/>
        <v>-20.396880953361755</v>
      </c>
      <c r="G65" s="73">
        <f t="shared" si="7"/>
        <v>1.526787952256405E-6</v>
      </c>
      <c r="H65" s="73">
        <f t="shared" si="8"/>
        <v>1.8327226246350112</v>
      </c>
      <c r="I65" s="73">
        <f t="shared" si="5"/>
        <v>1.8327226246350112</v>
      </c>
      <c r="J65" s="73">
        <f t="shared" si="9"/>
        <v>1.5644330298789934E-5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18.921000000000003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-19.06849058317318</v>
      </c>
      <c r="G66" s="73">
        <f t="shared" si="7"/>
        <v>3.7552923974467905E-6</v>
      </c>
      <c r="H66" s="73">
        <f t="shared" si="8"/>
        <v>1.9670605071804006</v>
      </c>
      <c r="I66" s="73">
        <f t="shared" si="5"/>
        <v>1.9670605071804006</v>
      </c>
      <c r="J66" s="73">
        <f t="shared" si="9"/>
        <v>3.5850980053109757E-5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20.978999999999999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-17.740100212984597</v>
      </c>
      <c r="G67" s="73">
        <f t="shared" si="7"/>
        <v>8.8743593870184664E-6</v>
      </c>
      <c r="H67" s="73">
        <f t="shared" si="8"/>
        <v>2.111245306244526</v>
      </c>
      <c r="I67" s="73">
        <f t="shared" si="5"/>
        <v>2.111245306244526</v>
      </c>
      <c r="J67" s="73">
        <f t="shared" si="9"/>
        <v>7.8935671696262998E-5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21.021000000000001</v>
      </c>
      <c r="U67" s="28">
        <f>$X$25</f>
        <v>0</v>
      </c>
    </row>
    <row r="68" spans="5:21" ht="15" x14ac:dyDescent="0.2">
      <c r="E68" s="72">
        <v>-4</v>
      </c>
      <c r="F68" s="73">
        <f t="shared" si="6"/>
        <v>-16.411709842796014</v>
      </c>
      <c r="G68" s="73">
        <f t="shared" si="7"/>
        <v>2.0149231546429616E-5</v>
      </c>
      <c r="H68" s="73">
        <f t="shared" si="8"/>
        <v>2.2659987971233035</v>
      </c>
      <c r="I68" s="73">
        <f t="shared" si="5"/>
        <v>2.2659987971233035</v>
      </c>
      <c r="J68" s="73">
        <f t="shared" si="9"/>
        <v>1.669835947548468E-4</v>
      </c>
      <c r="K68" s="73">
        <f t="shared" si="10"/>
        <v>3.1671241833119972E-5</v>
      </c>
      <c r="M68" s="56"/>
      <c r="N68" s="57"/>
      <c r="O68" s="58" t="b">
        <f t="shared" si="11"/>
        <v>0</v>
      </c>
      <c r="T68" s="85">
        <f>$U$25-$B$38/100</f>
        <v>23.079000000000001</v>
      </c>
      <c r="U68" s="28">
        <f>$X$25</f>
        <v>0</v>
      </c>
    </row>
    <row r="69" spans="5:21" ht="15" x14ac:dyDescent="0.2">
      <c r="E69" s="72">
        <v>-3.8</v>
      </c>
      <c r="F69" s="73">
        <f t="shared" si="6"/>
        <v>-15.083319472607432</v>
      </c>
      <c r="G69" s="73">
        <f t="shared" si="7"/>
        <v>4.3954989789637641E-5</v>
      </c>
      <c r="H69" s="73">
        <f t="shared" si="8"/>
        <v>2.4320956609717368</v>
      </c>
      <c r="I69" s="73">
        <f t="shared" si="5"/>
        <v>2.4320956609717368</v>
      </c>
      <c r="J69" s="73">
        <f t="shared" si="9"/>
        <v>3.3939272128783035E-4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23.121000000000002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-13.754929102418853</v>
      </c>
      <c r="G70" s="73">
        <f t="shared" si="7"/>
        <v>9.2126824139338647E-5</v>
      </c>
      <c r="H70" s="73">
        <f t="shared" si="8"/>
        <v>2.6103673627835922</v>
      </c>
      <c r="I70" s="73">
        <f t="shared" si="5"/>
        <v>2.6103673627835922</v>
      </c>
      <c r="J70" s="73">
        <f t="shared" si="9"/>
        <v>6.6276484294000874E-4</v>
      </c>
      <c r="K70" s="73">
        <f t="shared" si="10"/>
        <v>1.5910859015753396E-4</v>
      </c>
      <c r="M70" s="56"/>
      <c r="N70" s="57"/>
      <c r="O70" s="58" t="b">
        <f t="shared" si="11"/>
        <v>0</v>
      </c>
      <c r="T70" s="85">
        <f>$U$26-$B$38/100</f>
        <v>25.179000000000002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-12.42653873223027</v>
      </c>
      <c r="G71" s="73">
        <f t="shared" si="7"/>
        <v>1.8552064154124984E-4</v>
      </c>
      <c r="H71" s="73">
        <f t="shared" si="8"/>
        <v>2.8017063136255276</v>
      </c>
      <c r="I71" s="73">
        <f t="shared" si="5"/>
        <v>2.8017063136255276</v>
      </c>
      <c r="J71" s="73">
        <f t="shared" si="9"/>
        <v>1.2434966572507763E-3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25.221000000000004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-11.098148362041691</v>
      </c>
      <c r="G72" s="73">
        <f t="shared" si="7"/>
        <v>3.5894391512735673E-4</v>
      </c>
      <c r="H72" s="73">
        <f t="shared" si="8"/>
        <v>3.0070703379614292</v>
      </c>
      <c r="I72" s="73">
        <f t="shared" si="5"/>
        <v>3.0070703379614292</v>
      </c>
      <c r="J72" s="73">
        <f t="shared" si="9"/>
        <v>2.2415994029193393E-3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27.279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-9.7697579918531083</v>
      </c>
      <c r="G73" s="73">
        <f t="shared" si="7"/>
        <v>6.6725090928035748E-4</v>
      </c>
      <c r="H73" s="73">
        <f t="shared" si="8"/>
        <v>3.2274874684299517</v>
      </c>
      <c r="I73" s="73">
        <f t="shared" si="5"/>
        <v>3.2274874684299517</v>
      </c>
      <c r="J73" s="73">
        <f t="shared" si="9"/>
        <v>3.8823939639801653E-3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27.321000000000002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-8.4413676216645257</v>
      </c>
      <c r="G74" s="73">
        <f t="shared" si="7"/>
        <v>1.1917357669276498E-3</v>
      </c>
      <c r="H74" s="73">
        <f t="shared" si="8"/>
        <v>3.4640610920774515</v>
      </c>
      <c r="I74" s="73">
        <f t="shared" si="5"/>
        <v>3.4640610920774515</v>
      </c>
      <c r="J74" s="73">
        <f t="shared" si="9"/>
        <v>6.4605489990155994E-3</v>
      </c>
      <c r="K74" s="73">
        <f t="shared" si="10"/>
        <v>2.5551303304279286E-3</v>
      </c>
      <c r="M74" s="56"/>
      <c r="N74" s="57"/>
      <c r="O74" s="58" t="b">
        <f t="shared" si="11"/>
        <v>0</v>
      </c>
      <c r="T74" s="85">
        <f>$U$28-$B$38/100</f>
        <v>29.379000000000001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-7.1129772514759466</v>
      </c>
      <c r="G75" s="73">
        <f t="shared" si="7"/>
        <v>2.0450267539589805E-3</v>
      </c>
      <c r="H75" s="73">
        <f t="shared" si="8"/>
        <v>3.7179754738078739</v>
      </c>
      <c r="I75" s="73">
        <f t="shared" si="5"/>
        <v>3.7179754738078739</v>
      </c>
      <c r="J75" s="73">
        <f t="shared" si="9"/>
        <v>1.0329218560687822E-2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29.421000000000003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-5.784586881287364</v>
      </c>
      <c r="G76" s="73">
        <f t="shared" si="7"/>
        <v>3.3716791084030099E-3</v>
      </c>
      <c r="H76" s="73">
        <f t="shared" si="8"/>
        <v>3.9905016846994492</v>
      </c>
      <c r="I76" s="73">
        <f t="shared" si="5"/>
        <v>3.9905016846994492</v>
      </c>
      <c r="J76" s="73">
        <f t="shared" si="9"/>
        <v>1.5866960112215438E-2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31.478999999999999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-4.4561965110987849</v>
      </c>
      <c r="G77" s="73">
        <f t="shared" si="7"/>
        <v>5.3409891613705948E-3</v>
      </c>
      <c r="H77" s="73">
        <f t="shared" si="8"/>
        <v>4.2830039648647826</v>
      </c>
      <c r="I77" s="73">
        <f t="shared" si="5"/>
        <v>4.2830039648647826</v>
      </c>
      <c r="J77" s="73">
        <f t="shared" si="9"/>
        <v>2.3417914374493073E-2</v>
      </c>
      <c r="K77" s="73">
        <f t="shared" si="10"/>
        <v>1.3903447513498621E-2</v>
      </c>
      <c r="L77" s="16"/>
      <c r="M77" s="56"/>
      <c r="N77" s="57"/>
      <c r="O77" s="58" t="b">
        <f t="shared" si="11"/>
        <v>0</v>
      </c>
      <c r="T77" s="85">
        <f>$U$29+$B$38/100</f>
        <v>31.521000000000001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-3.1278061409102023</v>
      </c>
      <c r="G78" s="73">
        <f t="shared" si="7"/>
        <v>8.1287801725818572E-3</v>
      </c>
      <c r="H78" s="73">
        <f t="shared" si="8"/>
        <v>4.5969465527062079</v>
      </c>
      <c r="I78" s="73">
        <f t="shared" si="5"/>
        <v>4.5969465527062079</v>
      </c>
      <c r="J78" s="73">
        <f t="shared" si="9"/>
        <v>3.3207097565906535E-2</v>
      </c>
      <c r="K78" s="73">
        <f t="shared" si="10"/>
        <v>2.2750131948179219E-2</v>
      </c>
      <c r="L78" s="16"/>
      <c r="M78" s="56"/>
      <c r="N78" s="57"/>
      <c r="O78" s="58" t="b">
        <f t="shared" si="11"/>
        <v>0</v>
      </c>
      <c r="T78" s="85">
        <f>$U$30-$B$38/100</f>
        <v>33.579000000000001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-1.7994157707216214</v>
      </c>
      <c r="G79" s="73">
        <f t="shared" si="7"/>
        <v>1.1886589977264923E-2</v>
      </c>
      <c r="H79" s="73">
        <f t="shared" si="8"/>
        <v>4.9339010147530029</v>
      </c>
      <c r="I79" s="73">
        <f t="shared" si="5"/>
        <v>4.9339010147530029</v>
      </c>
      <c r="J79" s="73">
        <f t="shared" si="9"/>
        <v>4.5242004994782203E-2</v>
      </c>
      <c r="K79" s="73">
        <f t="shared" si="10"/>
        <v>3.5930319112925838E-2</v>
      </c>
      <c r="L79" s="16"/>
      <c r="M79" s="56"/>
      <c r="N79" s="57"/>
      <c r="O79" s="58" t="b">
        <f t="shared" si="11"/>
        <v>0</v>
      </c>
      <c r="T79" s="85">
        <f>$U$30+$B$38/100</f>
        <v>33.621000000000002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-0.47102540053304054</v>
      </c>
      <c r="G80" s="73">
        <f t="shared" si="7"/>
        <v>1.6700035948575716E-2</v>
      </c>
      <c r="H80" s="73">
        <f t="shared" si="8"/>
        <v>5.2955541127729315</v>
      </c>
      <c r="I80" s="73">
        <f t="shared" si="5"/>
        <v>5.2955541127729315</v>
      </c>
      <c r="J80" s="73">
        <f t="shared" si="9"/>
        <v>5.9221716269076935E-2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35.679000000000002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0.8573649696555421</v>
      </c>
      <c r="G81" s="73">
        <f t="shared" si="7"/>
        <v>2.2542690612020806E-2</v>
      </c>
      <c r="H81" s="73">
        <f t="shared" si="8"/>
        <v>5.6837162475401177</v>
      </c>
      <c r="I81" s="73">
        <f t="shared" si="5"/>
        <v>5.6837162475401177</v>
      </c>
      <c r="J81" s="73">
        <f t="shared" si="9"/>
        <v>7.4481489963662439E-2</v>
      </c>
      <c r="K81" s="73">
        <f t="shared" si="10"/>
        <v>8.0756659233771025E-2</v>
      </c>
      <c r="L81" s="14"/>
      <c r="M81" s="56"/>
      <c r="N81" s="57"/>
      <c r="O81" s="58" t="b">
        <f t="shared" si="11"/>
        <v>0</v>
      </c>
      <c r="T81" s="85">
        <f>$U$31+$B$38/100</f>
        <v>35.721000000000004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2.185755339844123</v>
      </c>
      <c r="G82" s="73">
        <f t="shared" si="7"/>
        <v>2.9236293689127828E-2</v>
      </c>
      <c r="H82" s="73">
        <f t="shared" si="8"/>
        <v>6.1003305215279386</v>
      </c>
      <c r="I82" s="73">
        <f t="shared" si="5"/>
        <v>6.1003305215279386</v>
      </c>
      <c r="J82" s="73">
        <f t="shared" si="9"/>
        <v>9.000029713353723E-2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37.779000000000003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3.5141457100327038</v>
      </c>
      <c r="G83" s="73">
        <f t="shared" si="7"/>
        <v>3.6430665254640879E-2</v>
      </c>
      <c r="H83" s="73">
        <f t="shared" si="8"/>
        <v>6.5474824658939239</v>
      </c>
      <c r="I83" s="73">
        <f t="shared" si="5"/>
        <v>6.5474824658939239</v>
      </c>
      <c r="J83" s="73">
        <f t="shared" si="9"/>
        <v>0.10448832116426676</v>
      </c>
      <c r="K83" s="73">
        <f t="shared" si="10"/>
        <v>0.15865525393145713</v>
      </c>
      <c r="L83" s="14"/>
      <c r="M83" s="56"/>
      <c r="N83" s="57"/>
      <c r="O83" s="58" t="b">
        <f t="shared" si="11"/>
        <v>0</v>
      </c>
      <c r="T83" s="85">
        <f>$U$32+$B$38/100</f>
        <v>37.821000000000005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4.8425360802212847</v>
      </c>
      <c r="G84" s="73">
        <f t="shared" si="7"/>
        <v>4.3615424992934491E-2</v>
      </c>
      <c r="H84" s="73">
        <f t="shared" si="8"/>
        <v>7.0274104804490038</v>
      </c>
      <c r="I84" s="73">
        <f t="shared" si="5"/>
        <v>7.0274104804490038</v>
      </c>
      <c r="J84" s="73">
        <f t="shared" si="9"/>
        <v>0.11655201337681212</v>
      </c>
      <c r="K84" s="73">
        <f t="shared" si="10"/>
        <v>0.21185539858339655</v>
      </c>
      <c r="M84" s="56"/>
      <c r="N84" s="57"/>
      <c r="O84" s="58" t="b">
        <f t="shared" si="11"/>
        <v>0</v>
      </c>
      <c r="T84" s="85">
        <f>$U$33-$B$38/100</f>
        <v>39.878999999999998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6.1709264504098664</v>
      </c>
      <c r="G85" s="73">
        <f t="shared" si="7"/>
        <v>5.0169680595395214E-2</v>
      </c>
      <c r="H85" s="73">
        <f t="shared" si="8"/>
        <v>7.5425170388725995</v>
      </c>
      <c r="I85" s="73">
        <f t="shared" si="5"/>
        <v>7.5425170388725995</v>
      </c>
      <c r="J85" s="73">
        <f t="shared" si="9"/>
        <v>0.12491081145574648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39.920999999999999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7.4993168205984473</v>
      </c>
      <c r="G86" s="73">
        <f t="shared" si="7"/>
        <v>5.5446071963174928E-2</v>
      </c>
      <c r="H86" s="73">
        <f t="shared" si="8"/>
        <v>8.0953807152657795</v>
      </c>
      <c r="I86" s="73">
        <f t="shared" si="5"/>
        <v>8.0953807152657795</v>
      </c>
      <c r="J86" s="73">
        <f t="shared" si="9"/>
        <v>0.12861999842189489</v>
      </c>
      <c r="K86" s="73">
        <f t="shared" si="10"/>
        <v>0.34457825838967571</v>
      </c>
      <c r="M86" s="56"/>
      <c r="N86" s="57"/>
      <c r="O86" s="58" t="b">
        <f t="shared" si="11"/>
        <v>0</v>
      </c>
      <c r="T86" s="85">
        <f>$U$34-$B$38/100</f>
        <v>41.978999999999999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8.827707190787029</v>
      </c>
      <c r="G87" s="73">
        <f t="shared" si="7"/>
        <v>5.8874665572883164E-2</v>
      </c>
      <c r="H87" s="73">
        <f t="shared" si="8"/>
        <v>8.6887690922462664</v>
      </c>
      <c r="I87" s="73">
        <f t="shared" si="5"/>
        <v>8.6887690922462664</v>
      </c>
      <c r="J87" s="73">
        <f t="shared" si="9"/>
        <v>0.12724630817013999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42.021000000000001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10.15609756097561</v>
      </c>
      <c r="G88" s="73">
        <f t="shared" si="7"/>
        <v>6.0064012711082512E-2</v>
      </c>
      <c r="H88" s="73">
        <f t="shared" si="8"/>
        <v>9.3256526152019834</v>
      </c>
      <c r="I88" s="73">
        <f t="shared" si="5"/>
        <v>9.3256526152019834</v>
      </c>
      <c r="J88" s="73">
        <f t="shared" si="9"/>
        <v>0.12095117802190564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44.079000000000001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11.484487931164191</v>
      </c>
      <c r="G89" s="73">
        <f t="shared" si="7"/>
        <v>5.8874665572883164E-2</v>
      </c>
      <c r="H89" s="73">
        <f t="shared" si="8"/>
        <v>10.009219462056185</v>
      </c>
      <c r="I89" s="73">
        <f t="shared" si="5"/>
        <v>10.009219462056185</v>
      </c>
      <c r="J89" s="73">
        <f t="shared" si="9"/>
        <v>0.11045954119823351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44.121000000000002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12.812878301352772</v>
      </c>
      <c r="G90" s="73">
        <f t="shared" si="7"/>
        <v>5.5446071963174942E-2</v>
      </c>
      <c r="H90" s="73">
        <f t="shared" si="8"/>
        <v>10.742891502980827</v>
      </c>
      <c r="I90" s="73">
        <f t="shared" si="5"/>
        <v>10.742891502980827</v>
      </c>
      <c r="J90" s="73">
        <f t="shared" si="9"/>
        <v>9.6922495636599673E-2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46.179000000000002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14.141268671541354</v>
      </c>
      <c r="G91" s="73">
        <f t="shared" si="7"/>
        <v>5.0169680595395214E-2</v>
      </c>
      <c r="H91" s="73">
        <f t="shared" si="8"/>
        <v>11.530341429950935</v>
      </c>
      <c r="I91" s="73">
        <f t="shared" si="5"/>
        <v>11.530341429950935</v>
      </c>
      <c r="J91" s="73">
        <f t="shared" si="9"/>
        <v>8.1709802738111945E-2</v>
      </c>
      <c r="K91" s="73">
        <f t="shared" si="10"/>
        <v>0.72574688224992656</v>
      </c>
      <c r="M91" s="56"/>
      <c r="N91" s="57"/>
      <c r="O91" s="58" t="b">
        <f t="shared" si="11"/>
        <v>0</v>
      </c>
      <c r="T91" s="85">
        <f>$U$36+$B$38/100</f>
        <v>46.221000000000004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15.469659041730001</v>
      </c>
      <c r="G92" s="73">
        <f t="shared" si="7"/>
        <v>4.3615424992934144E-2</v>
      </c>
      <c r="H92" s="73">
        <f t="shared" si="8"/>
        <v>12.375511141888959</v>
      </c>
      <c r="I92" s="73">
        <f t="shared" si="5"/>
        <v>12.375511141888959</v>
      </c>
      <c r="J92" s="73">
        <f t="shared" si="9"/>
        <v>6.6183839271839323E-2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48.279000000000003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16.798049411918583</v>
      </c>
      <c r="G93" s="73">
        <f t="shared" si="7"/>
        <v>3.6430665254640497E-2</v>
      </c>
      <c r="H93" s="73">
        <f t="shared" si="8"/>
        <v>13.282631477433096</v>
      </c>
      <c r="I93" s="73">
        <f t="shared" si="5"/>
        <v>13.282631477433096</v>
      </c>
      <c r="J93" s="73">
        <f t="shared" si="9"/>
        <v>5.1506017604723398E-2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48.321000000000005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18.126439782107163</v>
      </c>
      <c r="G94" s="73">
        <f t="shared" si="7"/>
        <v>2.9236293689127474E-2</v>
      </c>
      <c r="H94" s="73">
        <f t="shared" si="8"/>
        <v>14.256243394110593</v>
      </c>
      <c r="I94" s="73">
        <f t="shared" si="5"/>
        <v>14.256243394110593</v>
      </c>
      <c r="J94" s="73">
        <f t="shared" si="9"/>
        <v>3.851165726990214E-2</v>
      </c>
      <c r="K94" s="73">
        <f t="shared" si="10"/>
        <v>0.88493032977829378</v>
      </c>
      <c r="M94" s="56"/>
      <c r="N94" s="57"/>
      <c r="O94" s="58" t="b">
        <f t="shared" si="11"/>
        <v>0</v>
      </c>
      <c r="T94" s="85">
        <f>$U$38-$B$38/100</f>
        <v>50.379000000000005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19.454830152295742</v>
      </c>
      <c r="G95" s="73">
        <f t="shared" si="7"/>
        <v>2.2542690612020508E-2</v>
      </c>
      <c r="H95" s="73">
        <f t="shared" si="8"/>
        <v>15.30122069993608</v>
      </c>
      <c r="I95" s="73">
        <f t="shared" si="5"/>
        <v>15.30122069993608</v>
      </c>
      <c r="J95" s="73">
        <f t="shared" si="9"/>
        <v>2.766652824301967E-2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50.421000000000006</v>
      </c>
      <c r="U95" s="28">
        <f>$X$39</f>
        <v>1.1614401858304297E-2</v>
      </c>
    </row>
    <row r="96" spans="5:21" ht="15" x14ac:dyDescent="0.2">
      <c r="E96" s="72">
        <v>1.6000000000000101</v>
      </c>
      <c r="F96" s="73">
        <f t="shared" si="6"/>
        <v>20.783220522484328</v>
      </c>
      <c r="G96" s="73">
        <f t="shared" si="7"/>
        <v>1.6700035948575442E-2</v>
      </c>
      <c r="H96" s="73">
        <f t="shared" si="8"/>
        <v>16.422794451227809</v>
      </c>
      <c r="I96" s="73">
        <f t="shared" si="5"/>
        <v>16.422794451227809</v>
      </c>
      <c r="J96" s="73">
        <f t="shared" si="9"/>
        <v>1.9096129107962514E-2</v>
      </c>
      <c r="K96" s="73">
        <f t="shared" si="10"/>
        <v>0.94520070830044323</v>
      </c>
      <c r="M96" s="56"/>
      <c r="N96" s="57"/>
      <c r="O96" s="58" t="b">
        <f t="shared" si="11"/>
        <v>0</v>
      </c>
      <c r="T96" s="85">
        <f>$U$39-$B$38/100</f>
        <v>52.478999999999999</v>
      </c>
      <c r="U96" s="28">
        <f>$X$39</f>
        <v>1.1614401858304297E-2</v>
      </c>
    </row>
    <row r="97" spans="5:21" ht="15" x14ac:dyDescent="0.2">
      <c r="E97" s="72">
        <v>1.80000000000001</v>
      </c>
      <c r="F97" s="73">
        <f t="shared" si="6"/>
        <v>22.111610892672907</v>
      </c>
      <c r="G97" s="73">
        <f t="shared" si="7"/>
        <v>1.188658997726471E-2</v>
      </c>
      <c r="H97" s="73">
        <f t="shared" si="8"/>
        <v>17.626579138774556</v>
      </c>
      <c r="I97" s="73">
        <f t="shared" si="5"/>
        <v>17.626579138774556</v>
      </c>
      <c r="J97" s="73">
        <f t="shared" si="9"/>
        <v>1.2663805755830348E-2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52.521000000000001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23.44000126286149</v>
      </c>
      <c r="G98" s="73">
        <f t="shared" si="7"/>
        <v>8.1287801725816906E-3</v>
      </c>
      <c r="H98" s="73">
        <f t="shared" si="8"/>
        <v>18.918600793438912</v>
      </c>
      <c r="I98" s="73">
        <f t="shared" si="5"/>
        <v>18.918600793438912</v>
      </c>
      <c r="J98" s="73">
        <f t="shared" si="9"/>
        <v>8.0688447495498548E-3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24.768391633050069</v>
      </c>
      <c r="G99" s="73">
        <f t="shared" si="7"/>
        <v>5.3409891613704803E-3</v>
      </c>
      <c r="H99" s="73">
        <f t="shared" si="8"/>
        <v>20.305327151890584</v>
      </c>
      <c r="I99" s="73">
        <f t="shared" si="5"/>
        <v>20.305327151890584</v>
      </c>
      <c r="J99" s="73">
        <f t="shared" si="9"/>
        <v>4.9395421883403129E-3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26.096782003238651</v>
      </c>
      <c r="G100" s="73">
        <f t="shared" si="7"/>
        <v>3.3716791084029275E-3</v>
      </c>
      <c r="H100" s="73">
        <f t="shared" si="8"/>
        <v>21.79370003347687</v>
      </c>
      <c r="I100" s="73">
        <f t="shared" si="5"/>
        <v>21.79370003347687</v>
      </c>
      <c r="J100" s="73">
        <f t="shared" si="9"/>
        <v>2.9052951523418661E-3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27.42517237342723</v>
      </c>
      <c r="G101" s="73">
        <f t="shared" si="7"/>
        <v>2.0450267539589288E-3</v>
      </c>
      <c r="H101" s="73">
        <f t="shared" si="8"/>
        <v>23.39117009030543</v>
      </c>
      <c r="I101" s="73">
        <f t="shared" si="5"/>
        <v>23.39117009030543</v>
      </c>
      <c r="J101" s="73">
        <f t="shared" si="9"/>
        <v>1.6418067640042516E-3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28.753562743615813</v>
      </c>
      <c r="G102" s="73">
        <f t="shared" si="7"/>
        <v>1.191735766927616E-3</v>
      </c>
      <c r="H102" s="73">
        <f t="shared" si="8"/>
        <v>25.105734104495237</v>
      </c>
      <c r="I102" s="73">
        <f t="shared" si="5"/>
        <v>25.105734104495237</v>
      </c>
      <c r="J102" s="73">
        <f t="shared" si="9"/>
        <v>8.9141931989720601E-4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30.081953113804396</v>
      </c>
      <c r="G103" s="73">
        <f t="shared" si="7"/>
        <v>6.6725090928033731E-4</v>
      </c>
      <c r="H103" s="73">
        <f t="shared" si="8"/>
        <v>26.945975019302047</v>
      </c>
      <c r="I103" s="73">
        <f t="shared" si="5"/>
        <v>26.945975019302047</v>
      </c>
      <c r="J103" s="73">
        <f t="shared" si="9"/>
        <v>4.6501853643365589E-4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31.410343483992975</v>
      </c>
      <c r="G104" s="73">
        <f t="shared" si="7"/>
        <v>3.5894391512734556E-4</v>
      </c>
      <c r="H104" s="73">
        <f t="shared" si="8"/>
        <v>28.921104904510337</v>
      </c>
      <c r="I104" s="73">
        <f t="shared" si="5"/>
        <v>28.921104904510337</v>
      </c>
      <c r="J104" s="73">
        <f t="shared" si="9"/>
        <v>2.3307017820952547E-4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32.738733854181561</v>
      </c>
      <c r="G105" s="73">
        <f t="shared" si="7"/>
        <v>1.8552064154124309E-4</v>
      </c>
      <c r="H105" s="73">
        <f t="shared" si="8"/>
        <v>31.041011071172505</v>
      </c>
      <c r="I105" s="73">
        <f t="shared" si="5"/>
        <v>31.041011071172505</v>
      </c>
      <c r="J105" s="73">
        <f t="shared" si="9"/>
        <v>1.1223579114750836E-4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34.067124224370133</v>
      </c>
      <c r="G106" s="73">
        <f t="shared" si="7"/>
        <v>9.212682413933553E-5</v>
      </c>
      <c r="H106" s="73">
        <f t="shared" si="8"/>
        <v>33.316305566540976</v>
      </c>
      <c r="I106" s="73">
        <f t="shared" si="5"/>
        <v>33.316305566540976</v>
      </c>
      <c r="J106" s="73">
        <f t="shared" si="9"/>
        <v>5.1928318155071937E-5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35.395514594558719</v>
      </c>
      <c r="G107" s="73">
        <f t="shared" si="7"/>
        <v>4.395498978963596E-5</v>
      </c>
      <c r="H107" s="73">
        <f t="shared" si="8"/>
        <v>35.758378296960643</v>
      </c>
      <c r="I107" s="73">
        <f t="shared" si="5"/>
        <v>35.758378296960643</v>
      </c>
      <c r="J107" s="73">
        <f t="shared" si="9"/>
        <v>2.3083696859922979E-5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36.723904964747298</v>
      </c>
      <c r="G108" s="73">
        <f t="shared" si="7"/>
        <v>2.0149231546428827E-5</v>
      </c>
      <c r="H108" s="73">
        <f t="shared" si="8"/>
        <v>38.379454044649059</v>
      </c>
      <c r="I108" s="73">
        <f t="shared" si="5"/>
        <v>38.379454044649059</v>
      </c>
      <c r="J108" s="73">
        <f t="shared" si="9"/>
        <v>9.8590413613908189E-6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38.052295334935877</v>
      </c>
      <c r="G109" s="73">
        <f t="shared" si="7"/>
        <v>8.8743593870181361E-6</v>
      </c>
      <c r="H109" s="73">
        <f t="shared" si="8"/>
        <v>41.192653663785684</v>
      </c>
      <c r="I109" s="73">
        <f t="shared" si="5"/>
        <v>41.192653663785684</v>
      </c>
      <c r="J109" s="73">
        <f t="shared" si="9"/>
        <v>4.0456865858704932E-6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39.380685705124463</v>
      </c>
      <c r="G110" s="73">
        <f t="shared" si="7"/>
        <v>3.7552923974466304E-6</v>
      </c>
      <c r="H110" s="73">
        <f t="shared" si="8"/>
        <v>44.212059762251116</v>
      </c>
      <c r="I110" s="73">
        <f t="shared" si="5"/>
        <v>44.212059762251116</v>
      </c>
      <c r="J110" s="73">
        <f t="shared" si="9"/>
        <v>1.5950635954399366E-6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40.70907607531305</v>
      </c>
      <c r="G111" s="73">
        <f t="shared" si="7"/>
        <v>1.5267879522563239E-6</v>
      </c>
      <c r="H111" s="73">
        <f t="shared" si="8"/>
        <v>47.452787197813777</v>
      </c>
      <c r="I111" s="73">
        <f t="shared" si="5"/>
        <v>47.452787197813777</v>
      </c>
      <c r="J111" s="73">
        <f t="shared" si="9"/>
        <v>6.0421568002595096E-7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42.037466445501622</v>
      </c>
      <c r="G112" s="73">
        <f t="shared" si="7"/>
        <v>5.964058728413603E-7</v>
      </c>
      <c r="H112" s="73">
        <f t="shared" si="8"/>
        <v>50.931058741660067</v>
      </c>
      <c r="I112" s="73">
        <f t="shared" si="5"/>
        <v>50.931058741660067</v>
      </c>
      <c r="J112" s="73">
        <f t="shared" si="9"/>
        <v>2.1990454250513423E-7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43.365856815690137</v>
      </c>
      <c r="G113" s="73">
        <f t="shared" si="7"/>
        <v>2.2383774349753004E-7</v>
      </c>
      <c r="H113" s="73">
        <f t="shared" si="8"/>
        <v>54.664286288033466</v>
      </c>
      <c r="I113" s="73">
        <f t="shared" si="5"/>
        <v>54.664286288033466</v>
      </c>
      <c r="J113" s="73">
        <f t="shared" si="9"/>
        <v>7.6896156029118583E-8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-0.20956644406697442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47.835237548792428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-9.9487875073205924E-4</v>
      </c>
      <c r="H120" s="69" t="s">
        <v>50</v>
      </c>
      <c r="I120" s="79">
        <f>IF($B$9&gt;3,INDEX(XX!$C$4:$C$150,$B$9))</f>
        <v>0.29730000000000001</v>
      </c>
      <c r="J120" s="79">
        <f>IF($B$9&gt;3,INDEX(XX!$D$4:$D$150,$B$9))</f>
        <v>0.38429999999999997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5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42132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8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28" sqref="M2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138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35878</v>
      </c>
      <c r="N3" s="57">
        <v>1</v>
      </c>
      <c r="O3" s="58">
        <f t="shared" ref="O3:O66" si="0">IF($N3&gt;0,LN($N3+$B$26))</f>
        <v>0</v>
      </c>
      <c r="T3" s="69" t="s">
        <v>109</v>
      </c>
      <c r="U3" s="82">
        <f>$B$21</f>
        <v>20.694654234050937</v>
      </c>
      <c r="V3" s="82">
        <f t="shared" ref="V3:V10" si="1">U3</f>
        <v>20.694654234050937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35977</v>
      </c>
      <c r="N4" s="57">
        <v>1</v>
      </c>
      <c r="O4" s="58">
        <f t="shared" si="0"/>
        <v>0</v>
      </c>
      <c r="T4" s="69" t="s">
        <v>111</v>
      </c>
      <c r="U4" s="82">
        <f>$B$31</f>
        <v>23.589815392561537</v>
      </c>
      <c r="V4" s="82">
        <f t="shared" si="1"/>
        <v>23.589815392561537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36067</v>
      </c>
      <c r="N5" s="57">
        <v>2</v>
      </c>
      <c r="O5" s="58">
        <f t="shared" si="0"/>
        <v>0.69314718055994529</v>
      </c>
      <c r="T5" s="69" t="s">
        <v>110</v>
      </c>
      <c r="U5" s="82">
        <f>$B$22</f>
        <v>23.350454273269861</v>
      </c>
      <c r="V5" s="82">
        <f t="shared" si="1"/>
        <v>23.350454273269861</v>
      </c>
    </row>
    <row r="6" spans="1:24" ht="15" customHeight="1" x14ac:dyDescent="0.25">
      <c r="A6" s="107" t="s">
        <v>18</v>
      </c>
      <c r="B6" s="116">
        <v>7</v>
      </c>
      <c r="C6" s="18"/>
      <c r="M6" s="56">
        <v>36130</v>
      </c>
      <c r="N6" s="57">
        <v>1</v>
      </c>
      <c r="O6" s="58">
        <f t="shared" si="0"/>
        <v>0</v>
      </c>
      <c r="T6" s="69" t="s">
        <v>29</v>
      </c>
      <c r="U6" s="82">
        <f>$B$32</f>
        <v>38.505320804363322</v>
      </c>
      <c r="V6" s="82">
        <f t="shared" si="1"/>
        <v>38.505320804363322</v>
      </c>
    </row>
    <row r="7" spans="1:24" ht="15" customHeight="1" x14ac:dyDescent="0.2">
      <c r="D7" s="4"/>
      <c r="F7" s="5"/>
      <c r="M7" s="56">
        <v>36241</v>
      </c>
      <c r="N7" s="57">
        <v>1</v>
      </c>
      <c r="O7" s="58">
        <f t="shared" si="0"/>
        <v>0</v>
      </c>
      <c r="T7" s="69" t="s">
        <v>31</v>
      </c>
      <c r="U7" s="82">
        <f>$C$21</f>
        <v>-7.7196542340509353</v>
      </c>
      <c r="V7" s="82">
        <f t="shared" si="1"/>
        <v>-7.7196542340509353</v>
      </c>
    </row>
    <row r="8" spans="1:24" ht="15" customHeight="1" x14ac:dyDescent="0.25">
      <c r="A8" s="140" t="s">
        <v>12</v>
      </c>
      <c r="B8" s="140"/>
      <c r="C8" s="140"/>
      <c r="D8" s="4"/>
      <c r="M8" s="56">
        <v>36305</v>
      </c>
      <c r="N8" s="57">
        <v>1</v>
      </c>
      <c r="O8" s="58">
        <f t="shared" si="0"/>
        <v>0</v>
      </c>
      <c r="T8" s="69" t="s">
        <v>32</v>
      </c>
      <c r="U8" s="82">
        <f>$C$31</f>
        <v>-1.1588568154983323</v>
      </c>
      <c r="V8" s="82">
        <f t="shared" si="1"/>
        <v>-1.1588568154983323</v>
      </c>
    </row>
    <row r="9" spans="1:24" ht="15" customHeight="1" x14ac:dyDescent="0.2">
      <c r="A9" s="101" t="s">
        <v>11</v>
      </c>
      <c r="B9" s="59">
        <f>COUNT($M$3:$M252)</f>
        <v>68</v>
      </c>
      <c r="C9" s="60"/>
      <c r="D9" s="4"/>
      <c r="M9" s="56">
        <v>36384</v>
      </c>
      <c r="N9" s="57">
        <v>1</v>
      </c>
      <c r="O9" s="58">
        <f t="shared" si="0"/>
        <v>0</v>
      </c>
      <c r="T9" s="69" t="s">
        <v>112</v>
      </c>
      <c r="U9" s="82">
        <f>$C$22</f>
        <v>-10.37545427326986</v>
      </c>
      <c r="V9" s="82">
        <f t="shared" si="1"/>
        <v>-10.37545427326986</v>
      </c>
    </row>
    <row r="10" spans="1:24" ht="15" customHeight="1" x14ac:dyDescent="0.2">
      <c r="A10" s="102" t="s">
        <v>7</v>
      </c>
      <c r="B10" s="61">
        <f>MIN($N$3:$N$252)</f>
        <v>0.67</v>
      </c>
      <c r="C10" s="60"/>
      <c r="D10" s="4"/>
      <c r="M10" s="56">
        <v>36474</v>
      </c>
      <c r="N10" s="57">
        <v>2</v>
      </c>
      <c r="O10" s="58">
        <f t="shared" si="0"/>
        <v>0.69314718055994529</v>
      </c>
      <c r="T10" s="69" t="s">
        <v>113</v>
      </c>
      <c r="U10" s="82">
        <f>$C$32</f>
        <v>-1.5978965552335469</v>
      </c>
      <c r="V10" s="82">
        <f t="shared" si="1"/>
        <v>-1.5978965552335469</v>
      </c>
    </row>
    <row r="11" spans="1:24" ht="15" customHeight="1" x14ac:dyDescent="0.2">
      <c r="A11" s="102" t="s">
        <v>8</v>
      </c>
      <c r="B11" s="61">
        <f>MAX($N$3:$N$252)</f>
        <v>25</v>
      </c>
      <c r="C11" s="60"/>
      <c r="D11" s="4"/>
      <c r="M11" s="56">
        <v>36585</v>
      </c>
      <c r="N11" s="57">
        <v>10</v>
      </c>
      <c r="O11" s="58">
        <f t="shared" si="0"/>
        <v>2.3025850929940459</v>
      </c>
      <c r="T11" s="69" t="s">
        <v>68</v>
      </c>
      <c r="U11" s="82">
        <f>$B$12</f>
        <v>2</v>
      </c>
      <c r="V11" s="82">
        <f>U11</f>
        <v>2</v>
      </c>
    </row>
    <row r="12" spans="1:24" ht="15" customHeight="1" x14ac:dyDescent="0.2">
      <c r="A12" s="102" t="s">
        <v>68</v>
      </c>
      <c r="B12" s="62">
        <f>MEDIAN($N$3:$N$252)</f>
        <v>2</v>
      </c>
      <c r="C12" s="50"/>
      <c r="D12" s="4"/>
      <c r="M12" s="56">
        <v>36692</v>
      </c>
      <c r="N12" s="57">
        <v>10</v>
      </c>
      <c r="O12" s="58">
        <f t="shared" si="0"/>
        <v>2.3025850929940459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36781</v>
      </c>
      <c r="N13" s="57">
        <v>10</v>
      </c>
      <c r="O13" s="58">
        <f t="shared" si="0"/>
        <v>2.3025850929940459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36857</v>
      </c>
      <c r="N14" s="57">
        <v>10</v>
      </c>
      <c r="O14" s="58">
        <f t="shared" si="0"/>
        <v>2.3025850929940459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36979</v>
      </c>
      <c r="N15" s="57">
        <v>10</v>
      </c>
      <c r="O15" s="58">
        <f t="shared" si="0"/>
        <v>2.3025850929940459</v>
      </c>
      <c r="T15" s="69">
        <v>1</v>
      </c>
      <c r="U15" s="77">
        <f t="shared" ref="U15:U39" si="3">$B$36+T15*$B$38</f>
        <v>1.05</v>
      </c>
      <c r="V15" s="84">
        <f>FREQUENCY($N$3:$N$252,$U$15:$U$39)</f>
        <v>21</v>
      </c>
      <c r="W15" s="79">
        <f t="shared" ref="W15:W39" si="4">(U15+U14)/2</f>
        <v>0.52500000000000002</v>
      </c>
      <c r="X15" s="80">
        <f t="shared" si="2"/>
        <v>0.29411764705882354</v>
      </c>
    </row>
    <row r="16" spans="1:24" ht="15" customHeight="1" x14ac:dyDescent="0.2">
      <c r="A16" s="101" t="s">
        <v>73</v>
      </c>
      <c r="B16" s="63">
        <f>AVERAGE($N$3:$N$252)</f>
        <v>6.4875000000000007</v>
      </c>
      <c r="C16" s="60"/>
      <c r="M16" s="56">
        <v>37053</v>
      </c>
      <c r="N16" s="57">
        <v>10</v>
      </c>
      <c r="O16" s="58">
        <f t="shared" si="0"/>
        <v>2.3025850929940459</v>
      </c>
      <c r="T16" s="69">
        <v>2</v>
      </c>
      <c r="U16" s="77">
        <f t="shared" si="3"/>
        <v>2.1</v>
      </c>
      <c r="V16" s="84">
        <f t="array" ref="V16:V40">FREQUENCY($N$3:$N$252,$U$15:$U$39)</f>
        <v>21</v>
      </c>
      <c r="W16" s="79">
        <f t="shared" si="4"/>
        <v>1.5750000000000002</v>
      </c>
      <c r="X16" s="80">
        <f t="shared" si="2"/>
        <v>0.29411764705882354</v>
      </c>
    </row>
    <row r="17" spans="1:24" ht="15" customHeight="1" x14ac:dyDescent="0.2">
      <c r="A17" s="102" t="s">
        <v>75</v>
      </c>
      <c r="B17" s="62">
        <f>STDEV($N$3:$N$252)</f>
        <v>7.248681274816863</v>
      </c>
      <c r="C17" s="60"/>
      <c r="D17" s="4"/>
      <c r="M17" s="56">
        <v>37145</v>
      </c>
      <c r="N17" s="57">
        <v>10</v>
      </c>
      <c r="O17" s="58">
        <f t="shared" si="0"/>
        <v>2.3025850929940459</v>
      </c>
      <c r="T17" s="69">
        <v>3</v>
      </c>
      <c r="U17" s="77">
        <f t="shared" si="3"/>
        <v>3.1500000000000004</v>
      </c>
      <c r="V17" s="84">
        <v>15</v>
      </c>
      <c r="W17" s="79">
        <f t="shared" si="4"/>
        <v>2.625</v>
      </c>
      <c r="X17" s="80">
        <f t="shared" si="2"/>
        <v>0.21008403361344535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0.64881646156872486</v>
      </c>
      <c r="C18" s="114" t="s">
        <v>45</v>
      </c>
      <c r="D18" s="4"/>
      <c r="J18" s="6"/>
      <c r="M18" s="56">
        <v>37224</v>
      </c>
      <c r="N18" s="57">
        <v>20</v>
      </c>
      <c r="O18" s="58">
        <f t="shared" si="0"/>
        <v>2.9957322735539909</v>
      </c>
      <c r="T18" s="69">
        <v>4</v>
      </c>
      <c r="U18" s="77">
        <f t="shared" si="3"/>
        <v>4.2</v>
      </c>
      <c r="V18" s="84">
        <v>2</v>
      </c>
      <c r="W18" s="79">
        <f t="shared" si="4"/>
        <v>3.6750000000000003</v>
      </c>
      <c r="X18" s="80">
        <f t="shared" si="2"/>
        <v>2.8011204481792715E-2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37306</v>
      </c>
      <c r="N19" s="57">
        <v>20</v>
      </c>
      <c r="O19" s="58">
        <f t="shared" si="0"/>
        <v>2.9957322735539909</v>
      </c>
      <c r="T19" s="69">
        <v>5</v>
      </c>
      <c r="U19" s="77">
        <f t="shared" si="3"/>
        <v>5.25</v>
      </c>
      <c r="V19" s="84">
        <v>1</v>
      </c>
      <c r="W19" s="79">
        <f t="shared" si="4"/>
        <v>4.7249999999999996</v>
      </c>
      <c r="X19" s="80">
        <f t="shared" si="2"/>
        <v>1.4005602240896357E-2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37418</v>
      </c>
      <c r="N20" s="57">
        <v>20</v>
      </c>
      <c r="O20" s="58">
        <f t="shared" si="0"/>
        <v>2.9957322735539909</v>
      </c>
      <c r="T20" s="69">
        <v>6</v>
      </c>
      <c r="U20" s="77">
        <f t="shared" si="3"/>
        <v>6.3000000000000007</v>
      </c>
      <c r="V20" s="84">
        <v>2</v>
      </c>
      <c r="W20" s="79">
        <f t="shared" si="4"/>
        <v>5.7750000000000004</v>
      </c>
      <c r="X20" s="80">
        <f t="shared" si="2"/>
        <v>2.8011204481792715E-2</v>
      </c>
    </row>
    <row r="21" spans="1:24" ht="15" customHeight="1" x14ac:dyDescent="0.2">
      <c r="A21" s="103" t="s">
        <v>76</v>
      </c>
      <c r="B21" s="62">
        <f>NORMINV(0.975,$B$16,$B$17)</f>
        <v>20.694654234050937</v>
      </c>
      <c r="C21" s="62">
        <f>NORMINV(0.025,$B$16,$B$17)</f>
        <v>-7.7196542340509353</v>
      </c>
      <c r="D21" s="4"/>
      <c r="M21" s="56">
        <v>37494</v>
      </c>
      <c r="N21" s="57">
        <v>20</v>
      </c>
      <c r="O21" s="58">
        <f t="shared" si="0"/>
        <v>2.9957322735539909</v>
      </c>
      <c r="T21" s="69">
        <v>7</v>
      </c>
      <c r="U21" s="77">
        <f t="shared" si="3"/>
        <v>7.3500000000000005</v>
      </c>
      <c r="V21" s="84">
        <v>3</v>
      </c>
      <c r="W21" s="79">
        <f t="shared" si="4"/>
        <v>6.8250000000000011</v>
      </c>
      <c r="X21" s="80">
        <f t="shared" si="2"/>
        <v>4.2016806722689079E-2</v>
      </c>
    </row>
    <row r="22" spans="1:24" ht="15" customHeight="1" x14ac:dyDescent="0.2">
      <c r="A22" s="104" t="s">
        <v>77</v>
      </c>
      <c r="B22" s="62">
        <f>NORMINV(0.99,$B$16,$B$17)</f>
        <v>23.350454273269861</v>
      </c>
      <c r="C22" s="62">
        <f>NORMINV(0.01,B16,B17)</f>
        <v>-10.37545427326986</v>
      </c>
      <c r="M22" s="56">
        <v>37557</v>
      </c>
      <c r="N22" s="57">
        <v>20</v>
      </c>
      <c r="O22" s="58">
        <f t="shared" si="0"/>
        <v>2.9957322735539909</v>
      </c>
      <c r="T22" s="69">
        <v>8</v>
      </c>
      <c r="U22" s="77">
        <f t="shared" si="3"/>
        <v>8.4</v>
      </c>
      <c r="V22" s="84">
        <v>0</v>
      </c>
      <c r="W22" s="79">
        <f t="shared" si="4"/>
        <v>7.875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26.850454273269861</v>
      </c>
      <c r="E23" s="144" t="s">
        <v>80</v>
      </c>
      <c r="F23" s="144"/>
      <c r="G23" s="144"/>
      <c r="M23" s="56">
        <v>37663</v>
      </c>
      <c r="N23" s="57">
        <v>20</v>
      </c>
      <c r="O23" s="58">
        <f t="shared" si="0"/>
        <v>2.9957322735539909</v>
      </c>
      <c r="T23" s="69">
        <v>9</v>
      </c>
      <c r="U23" s="77">
        <f t="shared" si="3"/>
        <v>9.4500000000000011</v>
      </c>
      <c r="V23" s="84">
        <v>2</v>
      </c>
      <c r="W23" s="79">
        <f t="shared" si="4"/>
        <v>8.9250000000000007</v>
      </c>
      <c r="X23" s="80">
        <f t="shared" si="2"/>
        <v>2.8011204481792715E-2</v>
      </c>
    </row>
    <row r="24" spans="1:24" ht="15" customHeight="1" x14ac:dyDescent="0.2">
      <c r="M24" s="56">
        <v>37774</v>
      </c>
      <c r="N24" s="57">
        <v>20</v>
      </c>
      <c r="O24" s="58">
        <f t="shared" si="0"/>
        <v>2.9957322735539909</v>
      </c>
      <c r="T24" s="69">
        <v>10</v>
      </c>
      <c r="U24" s="77">
        <f t="shared" si="3"/>
        <v>10.5</v>
      </c>
      <c r="V24" s="84">
        <v>0</v>
      </c>
      <c r="W24" s="79">
        <f t="shared" si="4"/>
        <v>9.9750000000000014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37868</v>
      </c>
      <c r="N25" s="57">
        <v>20</v>
      </c>
      <c r="O25" s="58">
        <f t="shared" si="0"/>
        <v>2.9957322735539909</v>
      </c>
      <c r="Q25" s="75" t="s">
        <v>68</v>
      </c>
      <c r="R25" s="75">
        <f>MEDIAN($O$3:$O$252)</f>
        <v>0.69314718055994529</v>
      </c>
      <c r="T25" s="69">
        <v>11</v>
      </c>
      <c r="U25" s="77">
        <f t="shared" si="3"/>
        <v>11.55</v>
      </c>
      <c r="V25" s="84">
        <v>10</v>
      </c>
      <c r="W25" s="79">
        <f t="shared" si="4"/>
        <v>11.025</v>
      </c>
      <c r="X25" s="80">
        <f t="shared" si="2"/>
        <v>0.14005602240896359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37952</v>
      </c>
      <c r="N26" s="57">
        <v>20</v>
      </c>
      <c r="O26" s="58">
        <f t="shared" si="0"/>
        <v>2.9957322735539909</v>
      </c>
      <c r="Q26" s="75" t="s">
        <v>73</v>
      </c>
      <c r="R26" s="75">
        <f>AVERAGE($O$3:$O$252)</f>
        <v>1.1897783246420495</v>
      </c>
      <c r="T26" s="69">
        <v>12</v>
      </c>
      <c r="U26" s="77">
        <f t="shared" si="3"/>
        <v>12.600000000000001</v>
      </c>
      <c r="V26" s="84">
        <v>0</v>
      </c>
      <c r="W26" s="79">
        <f t="shared" si="4"/>
        <v>12.075000000000001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3.2863526232374185</v>
      </c>
      <c r="C27" s="62"/>
      <c r="E27" s="7" t="e">
        <f>STDEV(C50:C199)</f>
        <v>#DIV/0!</v>
      </c>
      <c r="F27" s="7" t="e">
        <f>NORMINV(0.025,$E26,$E27)</f>
        <v>#DIV/0!</v>
      </c>
      <c r="M27" s="56">
        <v>38034</v>
      </c>
      <c r="N27" s="57">
        <v>20</v>
      </c>
      <c r="O27" s="58">
        <f t="shared" si="0"/>
        <v>2.9957322735539909</v>
      </c>
      <c r="Q27" s="75" t="s">
        <v>104</v>
      </c>
      <c r="R27" s="75">
        <f>STDEV($O$3:$O$252)</f>
        <v>1.1983052539057435</v>
      </c>
      <c r="T27" s="69">
        <v>13</v>
      </c>
      <c r="U27" s="77">
        <f t="shared" si="3"/>
        <v>13.65</v>
      </c>
      <c r="V27" s="84">
        <v>0</v>
      </c>
      <c r="W27" s="79">
        <f t="shared" si="4"/>
        <v>13.125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0.43435306481488417</v>
      </c>
      <c r="C28" s="115" t="s">
        <v>45</v>
      </c>
      <c r="F28" s="7" t="e">
        <f>NORMINV(0.01,$E$26,$E$27)</f>
        <v>#DIV/0!</v>
      </c>
      <c r="M28" s="56">
        <v>38154</v>
      </c>
      <c r="N28" s="57">
        <v>20</v>
      </c>
      <c r="O28" s="58">
        <f t="shared" si="0"/>
        <v>2.9957322735539909</v>
      </c>
      <c r="Q28" s="75" t="s">
        <v>108</v>
      </c>
      <c r="R28" s="75">
        <f>NORMINV(0.025,$R$26,$R$27)</f>
        <v>-1.1588568154983323</v>
      </c>
      <c r="T28" s="69">
        <v>14</v>
      </c>
      <c r="U28" s="77">
        <f t="shared" si="3"/>
        <v>14.700000000000001</v>
      </c>
      <c r="V28" s="84">
        <v>0</v>
      </c>
      <c r="W28" s="79">
        <f t="shared" si="4"/>
        <v>14.175000000000001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schlecht</v>
      </c>
      <c r="C29" s="62"/>
      <c r="M29" s="56">
        <v>38222</v>
      </c>
      <c r="N29" s="57">
        <v>10</v>
      </c>
      <c r="O29" s="58">
        <f t="shared" si="0"/>
        <v>2.3025850929940459</v>
      </c>
      <c r="Q29" s="75" t="s">
        <v>107</v>
      </c>
      <c r="R29" s="75">
        <f>NORMINV(0.01,$R$26,$R$27)</f>
        <v>-1.5978965552335469</v>
      </c>
      <c r="T29" s="69">
        <v>15</v>
      </c>
      <c r="U29" s="77">
        <f t="shared" si="3"/>
        <v>15.75</v>
      </c>
      <c r="V29" s="84">
        <v>0</v>
      </c>
      <c r="W29" s="79">
        <f t="shared" si="4"/>
        <v>15.225000000000001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38302</v>
      </c>
      <c r="N30" s="57">
        <v>10</v>
      </c>
      <c r="O30" s="58">
        <f t="shared" si="0"/>
        <v>2.3025850929940459</v>
      </c>
      <c r="Q30" s="75" t="s">
        <v>105</v>
      </c>
      <c r="R30" s="75">
        <f>NORMINV(0.95,$R$26,$R$27)</f>
        <v>3.1608150677239157</v>
      </c>
      <c r="T30" s="69">
        <v>16</v>
      </c>
      <c r="U30" s="77">
        <f t="shared" si="3"/>
        <v>16.8</v>
      </c>
      <c r="V30" s="84">
        <v>0</v>
      </c>
      <c r="W30" s="79">
        <f t="shared" si="4"/>
        <v>16.274999999999999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23.589815392561537</v>
      </c>
      <c r="C31" s="62">
        <f>NORMINV(0.025,$R$26,$R$27)</f>
        <v>-1.1588568154983323</v>
      </c>
      <c r="E31" s="7" t="e">
        <f>NORMINV(0.98,$E$26,$E$27)</f>
        <v>#DIV/0!</v>
      </c>
      <c r="M31" s="56">
        <v>38378</v>
      </c>
      <c r="N31" s="57">
        <v>25</v>
      </c>
      <c r="O31" s="58">
        <f t="shared" si="0"/>
        <v>3.2188758248682006</v>
      </c>
      <c r="Q31" s="75" t="s">
        <v>106</v>
      </c>
      <c r="R31" s="75">
        <f>NORMINV(0.98,$R$26,$R$27)</f>
        <v>3.6507964344553594</v>
      </c>
      <c r="T31" s="69">
        <v>17</v>
      </c>
      <c r="U31" s="77">
        <f t="shared" si="3"/>
        <v>17.850000000000001</v>
      </c>
      <c r="V31" s="84">
        <v>0</v>
      </c>
      <c r="W31" s="79">
        <f t="shared" si="4"/>
        <v>17.325000000000003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38.505320804363322</v>
      </c>
      <c r="C32" s="62">
        <f>NORMINV(0.01,$R$26,$R$27)</f>
        <v>-1.5978965552335469</v>
      </c>
      <c r="M32" s="56">
        <v>38489</v>
      </c>
      <c r="N32" s="57">
        <v>6</v>
      </c>
      <c r="O32" s="58">
        <f t="shared" si="0"/>
        <v>1.791759469228055</v>
      </c>
      <c r="T32" s="69">
        <v>18</v>
      </c>
      <c r="U32" s="77">
        <f t="shared" si="3"/>
        <v>18.900000000000002</v>
      </c>
      <c r="V32" s="84">
        <v>0</v>
      </c>
      <c r="W32" s="79">
        <f t="shared" si="4"/>
        <v>18.375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42.005320804363322</v>
      </c>
      <c r="M33" s="56">
        <v>38575</v>
      </c>
      <c r="N33" s="57">
        <v>1</v>
      </c>
      <c r="O33" s="58">
        <f t="shared" si="0"/>
        <v>0</v>
      </c>
      <c r="T33" s="69">
        <v>19</v>
      </c>
      <c r="U33" s="77">
        <f t="shared" si="3"/>
        <v>19.95</v>
      </c>
      <c r="V33" s="84">
        <v>0</v>
      </c>
      <c r="W33" s="79">
        <f t="shared" si="4"/>
        <v>19.425000000000001</v>
      </c>
      <c r="X33" s="80">
        <f t="shared" si="2"/>
        <v>0</v>
      </c>
    </row>
    <row r="34" spans="1:24" ht="15" customHeight="1" x14ac:dyDescent="0.2">
      <c r="M34" s="56">
        <v>38663</v>
      </c>
      <c r="N34" s="57">
        <v>1</v>
      </c>
      <c r="O34" s="58">
        <f t="shared" si="0"/>
        <v>0</v>
      </c>
      <c r="T34" s="69">
        <v>20</v>
      </c>
      <c r="U34" s="77">
        <f t="shared" si="3"/>
        <v>21</v>
      </c>
      <c r="V34" s="84">
        <v>0</v>
      </c>
      <c r="W34" s="79">
        <f t="shared" si="4"/>
        <v>20.475000000000001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38777</v>
      </c>
      <c r="N35" s="57">
        <v>5</v>
      </c>
      <c r="O35" s="58">
        <f t="shared" si="0"/>
        <v>1.6094379124341003</v>
      </c>
      <c r="T35" s="69">
        <v>21</v>
      </c>
      <c r="U35" s="77">
        <f t="shared" si="3"/>
        <v>22.05</v>
      </c>
      <c r="V35" s="84">
        <v>11</v>
      </c>
      <c r="W35" s="79">
        <f t="shared" si="4"/>
        <v>21.524999999999999</v>
      </c>
      <c r="X35" s="80">
        <f t="shared" si="2"/>
        <v>0.15406162464985995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38876</v>
      </c>
      <c r="N36" s="57">
        <v>1</v>
      </c>
      <c r="O36" s="58">
        <f t="shared" si="0"/>
        <v>0</v>
      </c>
      <c r="T36" s="69">
        <v>22</v>
      </c>
      <c r="U36" s="77">
        <f t="shared" si="3"/>
        <v>23.1</v>
      </c>
      <c r="V36" s="84">
        <v>0</v>
      </c>
      <c r="W36" s="79">
        <f t="shared" si="4"/>
        <v>22.575000000000003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26.25</v>
      </c>
      <c r="D37" s="8"/>
      <c r="E37" s="8"/>
      <c r="M37" s="56">
        <v>38932</v>
      </c>
      <c r="N37" s="57">
        <v>1</v>
      </c>
      <c r="O37" s="58">
        <f t="shared" si="0"/>
        <v>0</v>
      </c>
      <c r="T37" s="69">
        <v>23</v>
      </c>
      <c r="U37" s="77">
        <f t="shared" si="3"/>
        <v>24.150000000000002</v>
      </c>
      <c r="V37" s="84">
        <v>0</v>
      </c>
      <c r="W37" s="79">
        <f t="shared" si="4"/>
        <v>23.625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1.05</v>
      </c>
      <c r="M38" s="56">
        <v>39071</v>
      </c>
      <c r="N38" s="57">
        <v>1</v>
      </c>
      <c r="O38" s="58">
        <f t="shared" si="0"/>
        <v>0</v>
      </c>
      <c r="T38" s="69">
        <v>24</v>
      </c>
      <c r="U38" s="77">
        <f t="shared" si="3"/>
        <v>25.200000000000003</v>
      </c>
      <c r="V38" s="84">
        <v>0</v>
      </c>
      <c r="W38" s="79">
        <f t="shared" si="4"/>
        <v>24.675000000000004</v>
      </c>
      <c r="X38" s="80">
        <f t="shared" si="2"/>
        <v>0</v>
      </c>
    </row>
    <row r="39" spans="1:24" ht="15" x14ac:dyDescent="0.2">
      <c r="M39" s="56">
        <v>39126</v>
      </c>
      <c r="N39" s="57">
        <v>1</v>
      </c>
      <c r="O39" s="58">
        <f t="shared" si="0"/>
        <v>0</v>
      </c>
      <c r="T39" s="69">
        <v>25</v>
      </c>
      <c r="U39" s="77">
        <f t="shared" si="3"/>
        <v>26.25</v>
      </c>
      <c r="V39" s="84">
        <v>1</v>
      </c>
      <c r="W39" s="79">
        <f t="shared" si="4"/>
        <v>25.725000000000001</v>
      </c>
      <c r="X39" s="80">
        <f t="shared" si="2"/>
        <v>1.4005602240896357E-2</v>
      </c>
    </row>
    <row r="40" spans="1:24" ht="15" x14ac:dyDescent="0.2">
      <c r="M40" s="56">
        <v>39252</v>
      </c>
      <c r="N40" s="57">
        <v>2</v>
      </c>
      <c r="O40" s="58">
        <f t="shared" si="0"/>
        <v>0.69314718055994529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39329</v>
      </c>
      <c r="N41" s="57">
        <v>1</v>
      </c>
      <c r="O41" s="58">
        <f t="shared" si="0"/>
        <v>0</v>
      </c>
    </row>
    <row r="42" spans="1:24" ht="15" x14ac:dyDescent="0.2">
      <c r="M42" s="56">
        <v>39419</v>
      </c>
      <c r="N42" s="57">
        <v>6</v>
      </c>
      <c r="O42" s="58">
        <f t="shared" si="0"/>
        <v>1.791759469228055</v>
      </c>
    </row>
    <row r="43" spans="1:24" ht="15" x14ac:dyDescent="0.2">
      <c r="M43" s="56">
        <v>39511</v>
      </c>
      <c r="N43" s="57">
        <v>1</v>
      </c>
      <c r="O43" s="58">
        <f t="shared" si="0"/>
        <v>0</v>
      </c>
    </row>
    <row r="44" spans="1:24" ht="15" x14ac:dyDescent="0.2">
      <c r="M44" s="56">
        <v>39609</v>
      </c>
      <c r="N44" s="57">
        <v>1</v>
      </c>
      <c r="O44" s="58">
        <f t="shared" si="0"/>
        <v>0</v>
      </c>
      <c r="T44" s="83" t="s">
        <v>13</v>
      </c>
    </row>
    <row r="45" spans="1:24" ht="15" x14ac:dyDescent="0.2">
      <c r="M45" s="56">
        <v>39672</v>
      </c>
      <c r="N45" s="57">
        <v>1</v>
      </c>
      <c r="O45" s="58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>
        <v>39771</v>
      </c>
      <c r="N46" s="57">
        <v>1</v>
      </c>
      <c r="O46" s="58">
        <f t="shared" si="0"/>
        <v>0</v>
      </c>
      <c r="T46" s="85">
        <f>$U$14-$B$38/100</f>
        <v>-1.0500000000000001E-2</v>
      </c>
      <c r="U46" s="28">
        <v>0</v>
      </c>
    </row>
    <row r="47" spans="1:24" ht="15" x14ac:dyDescent="0.2">
      <c r="B47" s="9"/>
      <c r="C47" s="9"/>
      <c r="D47" s="9"/>
      <c r="E47" s="9"/>
      <c r="M47" s="56">
        <v>39888</v>
      </c>
      <c r="N47" s="57">
        <v>1.5</v>
      </c>
      <c r="O47" s="58">
        <f t="shared" si="0"/>
        <v>0.40546510810816438</v>
      </c>
      <c r="T47" s="85">
        <f>$U$14+$B$38/100</f>
        <v>1.0500000000000001E-2</v>
      </c>
      <c r="U47" s="28">
        <f>$X$15</f>
        <v>0.29411764705882354</v>
      </c>
    </row>
    <row r="48" spans="1:24" ht="16.149999999999999" customHeight="1" x14ac:dyDescent="0.2">
      <c r="D48" s="9"/>
      <c r="E48" s="9"/>
      <c r="K48" s="11"/>
      <c r="L48" s="12"/>
      <c r="M48" s="56">
        <v>39973</v>
      </c>
      <c r="N48" s="57">
        <v>1</v>
      </c>
      <c r="O48" s="58">
        <f t="shared" si="0"/>
        <v>0</v>
      </c>
      <c r="T48" s="85">
        <f>$U$15-$B$38/100</f>
        <v>1.0395000000000001</v>
      </c>
      <c r="U48" s="28">
        <f>$X$15</f>
        <v>0.29411764705882354</v>
      </c>
    </row>
    <row r="49" spans="5:21" ht="15" x14ac:dyDescent="0.2">
      <c r="E49" s="13"/>
      <c r="M49" s="56">
        <v>40071</v>
      </c>
      <c r="N49" s="57">
        <v>2.4</v>
      </c>
      <c r="O49" s="58">
        <f t="shared" si="0"/>
        <v>0.87546873735389985</v>
      </c>
      <c r="T49" s="85">
        <f>$U$15+$B$38/100</f>
        <v>1.0605</v>
      </c>
      <c r="U49" s="28">
        <f>$X$16</f>
        <v>0.29411764705882354</v>
      </c>
    </row>
    <row r="50" spans="5:21" ht="15" x14ac:dyDescent="0.2">
      <c r="E50" s="15"/>
      <c r="M50" s="56">
        <v>40150</v>
      </c>
      <c r="N50" s="57">
        <v>1.7</v>
      </c>
      <c r="O50" s="58">
        <f t="shared" si="0"/>
        <v>0.53062825106217038</v>
      </c>
      <c r="T50" s="85">
        <f>$U$16-$B$38/100</f>
        <v>2.0895000000000001</v>
      </c>
      <c r="U50" s="28">
        <f>$X$16</f>
        <v>0.29411764705882354</v>
      </c>
    </row>
    <row r="51" spans="5:21" ht="15" x14ac:dyDescent="0.2">
      <c r="E51" s="15"/>
      <c r="M51" s="56">
        <v>40246</v>
      </c>
      <c r="N51" s="57">
        <v>0.89</v>
      </c>
      <c r="O51" s="58">
        <f t="shared" si="0"/>
        <v>-0.11653381625595151</v>
      </c>
      <c r="T51" s="85">
        <f>$U$16+$B$38/100</f>
        <v>2.1105</v>
      </c>
      <c r="U51" s="28">
        <f>$X$17</f>
        <v>0.21008403361344535</v>
      </c>
    </row>
    <row r="52" spans="5:21" ht="15" x14ac:dyDescent="0.2">
      <c r="E52" s="15"/>
      <c r="M52" s="56">
        <v>40339</v>
      </c>
      <c r="N52" s="57">
        <v>1.7</v>
      </c>
      <c r="O52" s="58">
        <f t="shared" si="0"/>
        <v>0.53062825106217038</v>
      </c>
      <c r="T52" s="85">
        <f>$U$17-$B$38/100</f>
        <v>3.1395000000000004</v>
      </c>
      <c r="U52" s="28">
        <f>$X$17</f>
        <v>0.21008403361344535</v>
      </c>
    </row>
    <row r="53" spans="5:21" ht="15" x14ac:dyDescent="0.2">
      <c r="E53" s="15"/>
      <c r="F53" s="15"/>
      <c r="G53" s="15"/>
      <c r="M53" s="56">
        <v>40428</v>
      </c>
      <c r="N53" s="57">
        <v>1.5</v>
      </c>
      <c r="O53" s="58">
        <f t="shared" si="0"/>
        <v>0.40546510810816438</v>
      </c>
      <c r="T53" s="85">
        <f>$U$17+$B$38/100</f>
        <v>3.1605000000000003</v>
      </c>
      <c r="U53" s="28">
        <f>$X$18</f>
        <v>2.8011204481792715E-2</v>
      </c>
    </row>
    <row r="54" spans="5:21" ht="15" x14ac:dyDescent="0.2">
      <c r="E54" s="15"/>
      <c r="F54" s="15"/>
      <c r="G54" s="15"/>
      <c r="M54" s="56">
        <v>40512</v>
      </c>
      <c r="N54" s="57">
        <v>0.67</v>
      </c>
      <c r="O54" s="58">
        <f t="shared" si="0"/>
        <v>-0.40047756659712525</v>
      </c>
      <c r="T54" s="85">
        <f>$U$18-$B$38/100</f>
        <v>4.1894999999999998</v>
      </c>
      <c r="U54" s="28">
        <f>$X$18</f>
        <v>2.8011204481792715E-2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40589</v>
      </c>
      <c r="N55" s="57">
        <v>1.1000000000000001</v>
      </c>
      <c r="O55" s="58">
        <f t="shared" si="0"/>
        <v>9.5310179804324935E-2</v>
      </c>
      <c r="T55" s="85">
        <f>$U$18+$B$38/100</f>
        <v>4.2105000000000006</v>
      </c>
      <c r="U55" s="28">
        <f>$X$19</f>
        <v>1.4005602240896357E-2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40724</v>
      </c>
      <c r="N56" s="57">
        <v>4.2</v>
      </c>
      <c r="O56" s="58">
        <f t="shared" si="0"/>
        <v>1.4350845252893227</v>
      </c>
      <c r="T56" s="85">
        <f>$U$19-$B$38/100</f>
        <v>5.2394999999999996</v>
      </c>
      <c r="U56" s="28">
        <f>$X$19</f>
        <v>1.4005602240896357E-2</v>
      </c>
    </row>
    <row r="57" spans="5:21" ht="15" x14ac:dyDescent="0.2">
      <c r="E57" s="70">
        <v>1</v>
      </c>
      <c r="F57" s="74">
        <f>$B$21</f>
        <v>20.694654234050937</v>
      </c>
      <c r="G57" s="74">
        <f>$C$21</f>
        <v>-7.7196542340509353</v>
      </c>
      <c r="H57" s="74">
        <f>$B$22</f>
        <v>23.350454273269861</v>
      </c>
      <c r="I57" s="74">
        <f>$C$22</f>
        <v>-10.37545427326986</v>
      </c>
      <c r="J57" s="74">
        <f>$B$31</f>
        <v>23.589815392561537</v>
      </c>
      <c r="K57" s="74">
        <f>$B$32</f>
        <v>38.505320804363322</v>
      </c>
      <c r="M57" s="56">
        <v>40801</v>
      </c>
      <c r="N57" s="57">
        <v>0.69</v>
      </c>
      <c r="O57" s="58">
        <f t="shared" si="0"/>
        <v>-0.37106368139083207</v>
      </c>
      <c r="T57" s="85">
        <f>$U$19+$B$38/100</f>
        <v>5.2605000000000004</v>
      </c>
      <c r="U57" s="28">
        <f>$X$20</f>
        <v>2.8011204481792715E-2</v>
      </c>
    </row>
    <row r="58" spans="5:21" ht="15" x14ac:dyDescent="0.2">
      <c r="E58" s="70">
        <v>73415</v>
      </c>
      <c r="F58" s="74">
        <f>$B$21</f>
        <v>20.694654234050937</v>
      </c>
      <c r="G58" s="74">
        <f>$C$21</f>
        <v>-7.7196542340509353</v>
      </c>
      <c r="H58" s="74">
        <f>$B$22</f>
        <v>23.350454273269861</v>
      </c>
      <c r="I58" s="74">
        <f>$C$22</f>
        <v>-10.37545427326986</v>
      </c>
      <c r="J58" s="74">
        <f>$B$31</f>
        <v>23.589815392561537</v>
      </c>
      <c r="K58" s="74">
        <f>$B$32</f>
        <v>38.505320804363322</v>
      </c>
      <c r="M58" s="56">
        <v>40879</v>
      </c>
      <c r="N58" s="57">
        <v>1.6</v>
      </c>
      <c r="O58" s="58">
        <f t="shared" si="0"/>
        <v>0.47000362924573563</v>
      </c>
      <c r="T58" s="85">
        <f>$U$20-$B$38/100</f>
        <v>6.2895000000000003</v>
      </c>
      <c r="U58" s="28">
        <f>$X$20</f>
        <v>2.8011204481792715E-2</v>
      </c>
    </row>
    <row r="59" spans="5:21" ht="15" x14ac:dyDescent="0.2">
      <c r="M59" s="56">
        <v>40961</v>
      </c>
      <c r="N59" s="57">
        <v>1.5</v>
      </c>
      <c r="O59" s="58">
        <f t="shared" si="0"/>
        <v>0.40546510810816438</v>
      </c>
      <c r="T59" s="85">
        <f>$U$20+$B$38/100</f>
        <v>6.3105000000000011</v>
      </c>
      <c r="U59" s="28">
        <f>$X$21</f>
        <v>4.2016806722689079E-2</v>
      </c>
    </row>
    <row r="60" spans="5:21" ht="15" x14ac:dyDescent="0.2">
      <c r="M60" s="56">
        <v>41065</v>
      </c>
      <c r="N60" s="57">
        <v>6</v>
      </c>
      <c r="O60" s="58">
        <f t="shared" si="0"/>
        <v>1.791759469228055</v>
      </c>
      <c r="T60" s="85">
        <f>$U$21-$B$38/100</f>
        <v>7.3395000000000001</v>
      </c>
      <c r="U60" s="28">
        <f>$X$21</f>
        <v>4.2016806722689079E-2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41151</v>
      </c>
      <c r="N61" s="57">
        <v>4.7</v>
      </c>
      <c r="O61" s="58">
        <f t="shared" si="0"/>
        <v>1.547562508716013</v>
      </c>
      <c r="T61" s="85">
        <f>$U$21+$B$38/100</f>
        <v>7.3605000000000009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41249</v>
      </c>
      <c r="N62" s="57">
        <v>9.5</v>
      </c>
      <c r="O62" s="58">
        <f t="shared" si="0"/>
        <v>2.2512917986064953</v>
      </c>
      <c r="T62" s="85">
        <f>$U$22-$B$38/100</f>
        <v>8.3895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-29.755906374084315</v>
      </c>
      <c r="G63" s="73">
        <f>NORMDIST($F63,$B$16,$B$17,FALSE)</f>
        <v>2.0510206730973415E-7</v>
      </c>
      <c r="H63" s="73">
        <f>EXP($R$26+$E63*$R$27)</f>
        <v>8.2153744696448275E-3</v>
      </c>
      <c r="I63" s="73">
        <f t="shared" ref="I63:I113" si="5">H63-$B$26</f>
        <v>8.2153744696448275E-3</v>
      </c>
      <c r="J63" s="73">
        <f>1/$H63/SQRT(2*PI())/$R$27*EXP(-POWER(LN($H63)-$R$26,2)/2/POWER($R$27,2))</f>
        <v>1.5101991257577855E-4</v>
      </c>
      <c r="K63" s="73">
        <f>LOGNORMDIST($H63,$R$26,$R$27)</f>
        <v>2.8665157187919333E-7</v>
      </c>
      <c r="M63" s="56">
        <v>41697</v>
      </c>
      <c r="N63" s="57">
        <v>1.5</v>
      </c>
      <c r="O63" s="58">
        <f t="shared" si="0"/>
        <v>0.40546510810816438</v>
      </c>
      <c r="T63" s="85">
        <f>$U$22+$B$38/100</f>
        <v>8.4105000000000008</v>
      </c>
      <c r="U63" s="28">
        <f>$X$23</f>
        <v>2.8011204481792715E-2</v>
      </c>
    </row>
    <row r="64" spans="5:21" ht="15" x14ac:dyDescent="0.2">
      <c r="E64" s="72">
        <v>-4.8</v>
      </c>
      <c r="F64" s="73">
        <f t="shared" ref="F64:F113" si="6">$B$16+$E64*$B$17</f>
        <v>-28.306170119120939</v>
      </c>
      <c r="G64" s="73">
        <f t="shared" ref="G64:G113" si="7">NORMDIST($F64,$B$16,$B$17,FALSE)</f>
        <v>5.4648548347604887E-7</v>
      </c>
      <c r="H64" s="73">
        <f t="shared" ref="H64:H113" si="8">EXP($R$26+$E64*$R$27)</f>
        <v>1.0440248500244428E-2</v>
      </c>
      <c r="I64" s="73">
        <f t="shared" si="5"/>
        <v>1.0440248500244428E-2</v>
      </c>
      <c r="J64" s="73">
        <f t="shared" ref="J64:J113" si="9">1/$H64/SQRT(2*PI())/$R$27*EXP(-POWER(LN($H64)-$R$26,2)/2/POWER($R$27,2))</f>
        <v>3.1663530326559407E-4</v>
      </c>
      <c r="K64" s="73">
        <f t="shared" ref="K64:K113" si="10">LOGNORMDIST($H64,$R$26,$R$27)</f>
        <v>7.933281519755948E-7</v>
      </c>
      <c r="M64" s="56">
        <v>41802</v>
      </c>
      <c r="N64" s="57">
        <v>1.3</v>
      </c>
      <c r="O64" s="58">
        <f t="shared" si="0"/>
        <v>0.26236426446749106</v>
      </c>
      <c r="T64" s="85">
        <f>$U$23-$B$38/100</f>
        <v>9.4395000000000007</v>
      </c>
      <c r="U64" s="28">
        <f>$X$23</f>
        <v>2.8011204481792715E-2</v>
      </c>
    </row>
    <row r="65" spans="5:21" ht="15" x14ac:dyDescent="0.2">
      <c r="E65" s="72">
        <v>-4.5999999999999996</v>
      </c>
      <c r="F65" s="73">
        <f t="shared" si="6"/>
        <v>-26.85643386415757</v>
      </c>
      <c r="G65" s="73">
        <f t="shared" si="7"/>
        <v>1.3989926830853751E-6</v>
      </c>
      <c r="H65" s="73">
        <f t="shared" si="8"/>
        <v>1.3267659210130728E-2</v>
      </c>
      <c r="I65" s="73">
        <f t="shared" si="5"/>
        <v>1.3267659210130728E-2</v>
      </c>
      <c r="J65" s="73">
        <f t="shared" si="9"/>
        <v>6.3784135842645019E-4</v>
      </c>
      <c r="K65" s="73">
        <f t="shared" si="10"/>
        <v>2.1124547025028533E-6</v>
      </c>
      <c r="M65" s="56">
        <v>41911</v>
      </c>
      <c r="N65" s="57">
        <v>1.6</v>
      </c>
      <c r="O65" s="58">
        <f t="shared" si="0"/>
        <v>0.47000362924573563</v>
      </c>
      <c r="T65" s="85">
        <f>$U$23+$B$38/100</f>
        <v>9.4605000000000015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-25.4066976091942</v>
      </c>
      <c r="G66" s="73">
        <f t="shared" si="7"/>
        <v>3.4409667558025861E-6</v>
      </c>
      <c r="H66" s="73">
        <f t="shared" si="8"/>
        <v>1.6860784579221973E-2</v>
      </c>
      <c r="I66" s="73">
        <f t="shared" si="5"/>
        <v>1.6860784579221973E-2</v>
      </c>
      <c r="J66" s="73">
        <f t="shared" si="9"/>
        <v>1.2345089357812824E-3</v>
      </c>
      <c r="K66" s="73">
        <f t="shared" si="10"/>
        <v>5.4125439077038416E-6</v>
      </c>
      <c r="M66" s="56">
        <v>41970</v>
      </c>
      <c r="N66" s="57">
        <v>2.2000000000000002</v>
      </c>
      <c r="O66" s="58">
        <f t="shared" si="0"/>
        <v>0.78845736036427028</v>
      </c>
      <c r="T66" s="85">
        <f>$U$24-$B$38/100</f>
        <v>10.4895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-23.956961354230824</v>
      </c>
      <c r="G67" s="73">
        <f t="shared" si="7"/>
        <v>8.1315573856610272E-6</v>
      </c>
      <c r="H67" s="73">
        <f t="shared" si="8"/>
        <v>2.1426994176173796E-2</v>
      </c>
      <c r="I67" s="73">
        <f t="shared" si="5"/>
        <v>2.1426994176173796E-2</v>
      </c>
      <c r="J67" s="73">
        <f t="shared" si="9"/>
        <v>2.2956412525887604E-3</v>
      </c>
      <c r="K67" s="73">
        <f t="shared" si="10"/>
        <v>1.3345749015906309E-5</v>
      </c>
      <c r="M67" s="56">
        <v>42075</v>
      </c>
      <c r="N67" s="57">
        <v>1.1000000000000001</v>
      </c>
      <c r="O67" s="58">
        <f t="shared" ref="O67:O130" si="11">IF($N67&gt;0,LN($N67+$B$26))</f>
        <v>9.5310179804324935E-2</v>
      </c>
      <c r="T67" s="85">
        <f>$U$24+$B$38/100</f>
        <v>10.5105</v>
      </c>
      <c r="U67" s="28">
        <f>$X$25</f>
        <v>0.14005602240896359</v>
      </c>
    </row>
    <row r="68" spans="5:21" ht="15" x14ac:dyDescent="0.2">
      <c r="E68" s="72">
        <v>-4</v>
      </c>
      <c r="F68" s="73">
        <f t="shared" si="6"/>
        <v>-22.507225099267451</v>
      </c>
      <c r="G68" s="73">
        <f t="shared" si="7"/>
        <v>1.84626997230288E-5</v>
      </c>
      <c r="H68" s="73">
        <f t="shared" si="8"/>
        <v>2.7229817050836866E-2</v>
      </c>
      <c r="I68" s="73">
        <f t="shared" si="5"/>
        <v>2.7229817050836866E-2</v>
      </c>
      <c r="J68" s="73">
        <f t="shared" si="9"/>
        <v>4.1014934627674453E-3</v>
      </c>
      <c r="K68" s="73">
        <f t="shared" si="10"/>
        <v>3.1671241833119857E-5</v>
      </c>
      <c r="M68" s="56">
        <v>42171</v>
      </c>
      <c r="N68" s="57">
        <v>8.3000000000000007</v>
      </c>
      <c r="O68" s="58">
        <f t="shared" si="11"/>
        <v>2.1162555148025524</v>
      </c>
      <c r="T68" s="85">
        <f>$U$25-$B$38/100</f>
        <v>11.5395</v>
      </c>
      <c r="U68" s="28">
        <f>$X$25</f>
        <v>0.14005602240896359</v>
      </c>
    </row>
    <row r="69" spans="5:21" ht="15" x14ac:dyDescent="0.2">
      <c r="E69" s="72">
        <v>-3.8</v>
      </c>
      <c r="F69" s="73">
        <f t="shared" si="6"/>
        <v>-21.057488844304078</v>
      </c>
      <c r="G69" s="73">
        <f t="shared" si="7"/>
        <v>4.0275867392008666E-5</v>
      </c>
      <c r="H69" s="73">
        <f t="shared" si="8"/>
        <v>3.4604150751416721E-2</v>
      </c>
      <c r="I69" s="73">
        <f t="shared" si="5"/>
        <v>3.4604150751416721E-2</v>
      </c>
      <c r="J69" s="73">
        <f t="shared" si="9"/>
        <v>7.0405769209747173E-3</v>
      </c>
      <c r="K69" s="73">
        <f t="shared" si="10"/>
        <v>7.234804392511999E-5</v>
      </c>
      <c r="M69" s="56">
        <v>42261</v>
      </c>
      <c r="N69" s="57">
        <v>7.4</v>
      </c>
      <c r="O69" s="58">
        <f t="shared" si="11"/>
        <v>2.0014800002101243</v>
      </c>
      <c r="T69" s="85">
        <f>$U$25+$B$38/100</f>
        <v>11.560500000000001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-19.607752589340706</v>
      </c>
      <c r="G70" s="73">
        <f t="shared" si="7"/>
        <v>8.4415620843976419E-5</v>
      </c>
      <c r="H70" s="73">
        <f t="shared" si="8"/>
        <v>4.397558922232904E-2</v>
      </c>
      <c r="I70" s="73">
        <f t="shared" si="5"/>
        <v>4.397558922232904E-2</v>
      </c>
      <c r="J70" s="73">
        <f t="shared" si="9"/>
        <v>1.161188409970697E-2</v>
      </c>
      <c r="K70" s="73">
        <f t="shared" si="10"/>
        <v>1.5910859015753364E-4</v>
      </c>
      <c r="M70" s="56">
        <v>42341</v>
      </c>
      <c r="N70" s="57">
        <v>2.1</v>
      </c>
      <c r="O70" s="58">
        <f t="shared" si="11"/>
        <v>0.74193734472937733</v>
      </c>
      <c r="T70" s="85">
        <f>$U$26-$B$38/100</f>
        <v>12.589500000000001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-18.158016334377333</v>
      </c>
      <c r="G71" s="73">
        <f t="shared" si="7"/>
        <v>1.6999218502735891E-4</v>
      </c>
      <c r="H71" s="73">
        <f t="shared" si="8"/>
        <v>5.5884985051160387E-2</v>
      </c>
      <c r="I71" s="73">
        <f t="shared" si="5"/>
        <v>5.5884985051160387E-2</v>
      </c>
      <c r="J71" s="73">
        <f t="shared" si="9"/>
        <v>1.8400319236093178E-2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12.610500000000002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-16.708280079413964</v>
      </c>
      <c r="G72" s="73">
        <f t="shared" si="7"/>
        <v>3.2889957649918526E-4</v>
      </c>
      <c r="H72" s="73">
        <f t="shared" si="8"/>
        <v>7.1019663622440235E-2</v>
      </c>
      <c r="I72" s="73">
        <f t="shared" si="5"/>
        <v>7.1019663622440235E-2</v>
      </c>
      <c r="J72" s="73">
        <f t="shared" si="9"/>
        <v>2.8014072227303559E-2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13.6395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-15.258543824450587</v>
      </c>
      <c r="G73" s="73">
        <f t="shared" si="7"/>
        <v>6.1140064570572219E-4</v>
      </c>
      <c r="H73" s="73">
        <f t="shared" si="8"/>
        <v>9.025309063654903E-2</v>
      </c>
      <c r="I73" s="73">
        <f t="shared" si="5"/>
        <v>9.025309063654903E-2</v>
      </c>
      <c r="J73" s="73">
        <f t="shared" si="9"/>
        <v>4.0978433359590324E-2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13.660500000000001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-13.808807569487215</v>
      </c>
      <c r="G74" s="73">
        <f t="shared" si="7"/>
        <v>1.0919850498158302E-3</v>
      </c>
      <c r="H74" s="73">
        <f t="shared" si="8"/>
        <v>0.114695282320027</v>
      </c>
      <c r="I74" s="73">
        <f t="shared" si="5"/>
        <v>0.114695282320027</v>
      </c>
      <c r="J74" s="73">
        <f t="shared" si="9"/>
        <v>5.7592068692418626E-2</v>
      </c>
      <c r="K74" s="73">
        <f t="shared" si="10"/>
        <v>2.5551303304279286E-3</v>
      </c>
      <c r="M74" s="56"/>
      <c r="N74" s="57"/>
      <c r="O74" s="58" t="b">
        <f t="shared" si="11"/>
        <v>0</v>
      </c>
      <c r="T74" s="85">
        <f>$U$28-$B$38/100</f>
        <v>14.689500000000001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-12.359071314523845</v>
      </c>
      <c r="G75" s="73">
        <f t="shared" si="7"/>
        <v>1.8738538388872361E-3</v>
      </c>
      <c r="H75" s="73">
        <f t="shared" si="8"/>
        <v>0.14575686764507789</v>
      </c>
      <c r="I75" s="73">
        <f t="shared" si="5"/>
        <v>0.14575686764507789</v>
      </c>
      <c r="J75" s="73">
        <f t="shared" si="9"/>
        <v>7.7767515943047386E-2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14.710500000000001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-10.909335059560469</v>
      </c>
      <c r="G76" s="73">
        <f t="shared" si="7"/>
        <v>3.0894626823564806E-3</v>
      </c>
      <c r="H76" s="73">
        <f t="shared" si="8"/>
        <v>0.18523049977265837</v>
      </c>
      <c r="I76" s="73">
        <f t="shared" si="5"/>
        <v>0.18523049977265837</v>
      </c>
      <c r="J76" s="73">
        <f t="shared" si="9"/>
        <v>0.10089322307596363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15.7395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-9.4595988045970998</v>
      </c>
      <c r="G77" s="73">
        <f t="shared" si="7"/>
        <v>4.8939374627321687E-3</v>
      </c>
      <c r="H77" s="73">
        <f t="shared" si="8"/>
        <v>0.23539431520698867</v>
      </c>
      <c r="I77" s="73">
        <f t="shared" si="5"/>
        <v>0.23539431520698867</v>
      </c>
      <c r="J77" s="73">
        <f t="shared" si="9"/>
        <v>0.12576331770377372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15.7605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-8.0098625496337252</v>
      </c>
      <c r="G78" s="73">
        <f t="shared" si="7"/>
        <v>7.4483846738801649E-3</v>
      </c>
      <c r="H78" s="73">
        <f t="shared" si="8"/>
        <v>0.29914341158596941</v>
      </c>
      <c r="I78" s="73">
        <f t="shared" si="5"/>
        <v>0.29914341158596941</v>
      </c>
      <c r="J78" s="73">
        <f t="shared" si="9"/>
        <v>0.15061707048618733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16.7895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-6.5601262946703525</v>
      </c>
      <c r="G79" s="73">
        <f t="shared" si="7"/>
        <v>1.0891658124793025E-2</v>
      </c>
      <c r="H79" s="73">
        <f t="shared" si="8"/>
        <v>0.38015693206781348</v>
      </c>
      <c r="I79" s="73">
        <f t="shared" si="5"/>
        <v>0.38015693206781348</v>
      </c>
      <c r="J79" s="73">
        <f t="shared" si="9"/>
        <v>0.1733096030411152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16.810500000000001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-5.1103900397069815</v>
      </c>
      <c r="G80" s="73">
        <f t="shared" si="7"/>
        <v>1.530220883967035E-2</v>
      </c>
      <c r="H80" s="73">
        <f t="shared" si="8"/>
        <v>0.48311039923297616</v>
      </c>
      <c r="I80" s="73">
        <f t="shared" si="5"/>
        <v>0.48311039923297616</v>
      </c>
      <c r="J80" s="73">
        <f t="shared" si="9"/>
        <v>0.19160166533408501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17.839500000000001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-3.6606537847436069</v>
      </c>
      <c r="G81" s="73">
        <f t="shared" si="7"/>
        <v>2.06558213775964E-2</v>
      </c>
      <c r="H81" s="73">
        <f t="shared" si="8"/>
        <v>0.61394555289974784</v>
      </c>
      <c r="I81" s="73">
        <f t="shared" si="5"/>
        <v>0.61394555289974784</v>
      </c>
      <c r="J81" s="73">
        <f t="shared" si="9"/>
        <v>0.2035186214189785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17.860500000000002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-2.2109175297802341</v>
      </c>
      <c r="G82" s="73">
        <f t="shared" si="7"/>
        <v>2.6789156209398798E-2</v>
      </c>
      <c r="H82" s="73">
        <f t="shared" si="8"/>
        <v>0.78021326496763299</v>
      </c>
      <c r="I82" s="73">
        <f t="shared" si="5"/>
        <v>0.78021326496763299</v>
      </c>
      <c r="J82" s="73">
        <f t="shared" si="9"/>
        <v>0.20770035823657601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18.889500000000002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-0.76118127481686226</v>
      </c>
      <c r="G83" s="73">
        <f t="shared" si="7"/>
        <v>3.3381344184602285E-2</v>
      </c>
      <c r="H83" s="73">
        <f t="shared" si="8"/>
        <v>0.99150932188746532</v>
      </c>
      <c r="I83" s="73">
        <f t="shared" si="5"/>
        <v>0.99150932188746532</v>
      </c>
      <c r="J83" s="73">
        <f t="shared" si="9"/>
        <v>0.2036566331481644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18.910500000000003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0.68855498014650962</v>
      </c>
      <c r="G84" s="73">
        <f t="shared" si="7"/>
        <v>3.9964724862151114E-2</v>
      </c>
      <c r="H84" s="73">
        <f t="shared" si="8"/>
        <v>1.2600282250142525</v>
      </c>
      <c r="I84" s="73">
        <f t="shared" si="5"/>
        <v>1.2600282250142525</v>
      </c>
      <c r="J84" s="73">
        <f t="shared" si="9"/>
        <v>0.19186161445254915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19.939499999999999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2.1382912351098833</v>
      </c>
      <c r="G85" s="73">
        <f t="shared" si="7"/>
        <v>4.5970375887470445E-2</v>
      </c>
      <c r="H85" s="73">
        <f t="shared" si="8"/>
        <v>1.6012669702491873</v>
      </c>
      <c r="I85" s="73">
        <f t="shared" si="5"/>
        <v>1.6012669702491873</v>
      </c>
      <c r="J85" s="73">
        <f t="shared" si="9"/>
        <v>0.17366242060865122</v>
      </c>
      <c r="K85" s="73">
        <f t="shared" si="10"/>
        <v>0.27425311775007355</v>
      </c>
      <c r="M85" s="56"/>
      <c r="N85" s="57"/>
      <c r="O85" s="58" t="b">
        <f t="shared" si="11"/>
        <v>0</v>
      </c>
      <c r="T85" s="85">
        <f>$U$33+$B$38/100</f>
        <v>19.9605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3.5880274900732552</v>
      </c>
      <c r="G86" s="73">
        <f t="shared" si="7"/>
        <v>5.0805122523838328E-2</v>
      </c>
      <c r="H86" s="73">
        <f t="shared" si="8"/>
        <v>2.0349194241121138</v>
      </c>
      <c r="I86" s="73">
        <f t="shared" si="5"/>
        <v>2.0349194241121138</v>
      </c>
      <c r="J86" s="73">
        <f t="shared" si="9"/>
        <v>0.15102603701824399</v>
      </c>
      <c r="K86" s="73">
        <f t="shared" si="10"/>
        <v>0.34457825838967582</v>
      </c>
      <c r="M86" s="56"/>
      <c r="N86" s="57"/>
      <c r="O86" s="58" t="b">
        <f t="shared" si="11"/>
        <v>0</v>
      </c>
      <c r="T86" s="85">
        <f>$U$34-$B$38/100</f>
        <v>20.9895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5.0377637450366279</v>
      </c>
      <c r="G87" s="73">
        <f t="shared" si="7"/>
        <v>5.394673584752635E-2</v>
      </c>
      <c r="H87" s="73">
        <f t="shared" si="8"/>
        <v>2.5860129132522949</v>
      </c>
      <c r="I87" s="73">
        <f t="shared" si="5"/>
        <v>2.5860129132522949</v>
      </c>
      <c r="J87" s="73">
        <f t="shared" si="9"/>
        <v>0.1261903147294719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21.0105</v>
      </c>
      <c r="U87" s="28">
        <f>$X$35</f>
        <v>0.15406162464985995</v>
      </c>
    </row>
    <row r="88" spans="5:21" ht="15" x14ac:dyDescent="0.2">
      <c r="E88" s="72">
        <v>0</v>
      </c>
      <c r="F88" s="73">
        <f t="shared" si="6"/>
        <v>6.4875000000000007</v>
      </c>
      <c r="G88" s="73">
        <f t="shared" si="7"/>
        <v>5.503653220171581E-2</v>
      </c>
      <c r="H88" s="73">
        <f t="shared" si="8"/>
        <v>3.2863526232374185</v>
      </c>
      <c r="I88" s="73">
        <f t="shared" si="5"/>
        <v>3.2863526232374185</v>
      </c>
      <c r="J88" s="73">
        <f t="shared" si="9"/>
        <v>0.10130443093033062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22.0395</v>
      </c>
      <c r="U88" s="28">
        <f>$X$35</f>
        <v>0.15406162464985995</v>
      </c>
    </row>
    <row r="89" spans="5:21" ht="15" x14ac:dyDescent="0.2">
      <c r="E89" s="72">
        <v>0.2</v>
      </c>
      <c r="F89" s="73">
        <f t="shared" si="6"/>
        <v>7.9372362549633735</v>
      </c>
      <c r="G89" s="73">
        <f t="shared" si="7"/>
        <v>5.394673584752635E-2</v>
      </c>
      <c r="H89" s="73">
        <f t="shared" si="8"/>
        <v>4.1763571670168949</v>
      </c>
      <c r="I89" s="73">
        <f t="shared" si="5"/>
        <v>4.1763571670168949</v>
      </c>
      <c r="J89" s="73">
        <f t="shared" si="9"/>
        <v>7.8137422248030053E-2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22.060500000000001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9.3869725099267463</v>
      </c>
      <c r="G90" s="73">
        <f t="shared" si="7"/>
        <v>5.0805122523838328E-2</v>
      </c>
      <c r="H90" s="73">
        <f t="shared" si="8"/>
        <v>5.3073912589791226</v>
      </c>
      <c r="I90" s="73">
        <f t="shared" si="5"/>
        <v>5.3073912589791226</v>
      </c>
      <c r="J90" s="73">
        <f t="shared" si="9"/>
        <v>5.7905249731713571E-2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23.089500000000001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10.836708764890119</v>
      </c>
      <c r="G91" s="73">
        <f t="shared" si="7"/>
        <v>4.5970375887470445E-2</v>
      </c>
      <c r="H91" s="73">
        <f t="shared" si="8"/>
        <v>6.7447301199117105</v>
      </c>
      <c r="I91" s="73">
        <f t="shared" si="5"/>
        <v>6.7447301199117105</v>
      </c>
      <c r="J91" s="73">
        <f t="shared" si="9"/>
        <v>4.1229210531821117E-2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23.110500000000002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12.286445019853563</v>
      </c>
      <c r="G92" s="73">
        <f t="shared" si="7"/>
        <v>3.9964724862150802E-2</v>
      </c>
      <c r="H92" s="73">
        <f t="shared" si="8"/>
        <v>8.5713266971757136</v>
      </c>
      <c r="I92" s="73">
        <f t="shared" si="5"/>
        <v>8.5713266971757136</v>
      </c>
      <c r="J92" s="73">
        <f t="shared" si="9"/>
        <v>2.8204624330405038E-2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24.139500000000002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13.736181274816936</v>
      </c>
      <c r="G93" s="73">
        <f t="shared" si="7"/>
        <v>3.3381344184601945E-2</v>
      </c>
      <c r="H93" s="73">
        <f t="shared" si="8"/>
        <v>10.892599117172383</v>
      </c>
      <c r="I93" s="73">
        <f t="shared" si="5"/>
        <v>10.892599117172383</v>
      </c>
      <c r="J93" s="73">
        <f t="shared" si="9"/>
        <v>1.8538041110158582E-2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24.160500000000003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15.185917529780308</v>
      </c>
      <c r="G94" s="73">
        <f t="shared" si="7"/>
        <v>2.6789156209398476E-2</v>
      </c>
      <c r="H94" s="73">
        <f t="shared" si="8"/>
        <v>13.842514667714124</v>
      </c>
      <c r="I94" s="73">
        <f t="shared" si="5"/>
        <v>13.842514667714124</v>
      </c>
      <c r="J94" s="73">
        <f t="shared" si="9"/>
        <v>1.170672948699604E-2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25.189500000000002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16.635653784743681</v>
      </c>
      <c r="G95" s="73">
        <f t="shared" si="7"/>
        <v>2.0655821377596112E-2</v>
      </c>
      <c r="H95" s="73">
        <f t="shared" si="8"/>
        <v>17.591321434366929</v>
      </c>
      <c r="I95" s="73">
        <f t="shared" si="5"/>
        <v>17.591321434366929</v>
      </c>
      <c r="J95" s="73">
        <f t="shared" si="9"/>
        <v>7.1028974724072014E-3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25.210500000000003</v>
      </c>
      <c r="U95" s="28">
        <f>$X$39</f>
        <v>1.4005602240896357E-2</v>
      </c>
    </row>
    <row r="96" spans="5:21" ht="15" x14ac:dyDescent="0.2">
      <c r="E96" s="72">
        <v>1.6000000000000101</v>
      </c>
      <c r="F96" s="73">
        <f t="shared" si="6"/>
        <v>18.085390039707054</v>
      </c>
      <c r="G96" s="73">
        <f t="shared" si="7"/>
        <v>1.5302208839670107E-2</v>
      </c>
      <c r="H96" s="73">
        <f t="shared" si="8"/>
        <v>22.355373805669874</v>
      </c>
      <c r="I96" s="73">
        <f t="shared" si="5"/>
        <v>22.355373805669874</v>
      </c>
      <c r="J96" s="73">
        <f t="shared" si="9"/>
        <v>4.1406043056088247E-3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26.2395</v>
      </c>
      <c r="U96" s="28">
        <f>$X$39</f>
        <v>1.4005602240896357E-2</v>
      </c>
    </row>
    <row r="97" spans="5:21" ht="15" x14ac:dyDescent="0.2">
      <c r="E97" s="72">
        <v>1.80000000000001</v>
      </c>
      <c r="F97" s="73">
        <f t="shared" si="6"/>
        <v>19.535126294670427</v>
      </c>
      <c r="G97" s="73">
        <f t="shared" si="7"/>
        <v>1.0891658124792831E-2</v>
      </c>
      <c r="H97" s="73">
        <f t="shared" si="8"/>
        <v>28.409618905313131</v>
      </c>
      <c r="I97" s="73">
        <f t="shared" si="5"/>
        <v>28.409618905313131</v>
      </c>
      <c r="J97" s="73">
        <f t="shared" si="9"/>
        <v>2.3191035124261409E-3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26.2605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20.984862549633803</v>
      </c>
      <c r="G98" s="73">
        <f t="shared" si="7"/>
        <v>7.4483846738800071E-3</v>
      </c>
      <c r="H98" s="73">
        <f t="shared" si="8"/>
        <v>36.10346457908134</v>
      </c>
      <c r="I98" s="73">
        <f t="shared" si="5"/>
        <v>36.10346457908134</v>
      </c>
      <c r="J98" s="73">
        <f t="shared" si="9"/>
        <v>1.2479717620903191E-3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22.434598804597172</v>
      </c>
      <c r="G99" s="73">
        <f t="shared" si="7"/>
        <v>4.8939374627320646E-3</v>
      </c>
      <c r="H99" s="73">
        <f t="shared" si="8"/>
        <v>45.880944723591789</v>
      </c>
      <c r="I99" s="73">
        <f t="shared" si="5"/>
        <v>45.880944723591789</v>
      </c>
      <c r="J99" s="73">
        <f t="shared" si="9"/>
        <v>6.4523453532585825E-4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23.884335059560545</v>
      </c>
      <c r="G100" s="73">
        <f t="shared" si="7"/>
        <v>3.0894626823564056E-3</v>
      </c>
      <c r="H100" s="73">
        <f t="shared" si="8"/>
        <v>58.306345755774842</v>
      </c>
      <c r="I100" s="73">
        <f t="shared" si="5"/>
        <v>58.306345755774842</v>
      </c>
      <c r="J100" s="73">
        <f t="shared" si="9"/>
        <v>3.2052261022006567E-4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25.334071314523914</v>
      </c>
      <c r="G101" s="73">
        <f t="shared" si="7"/>
        <v>1.8738538388871925E-3</v>
      </c>
      <c r="H101" s="73">
        <f t="shared" si="8"/>
        <v>74.09677320013607</v>
      </c>
      <c r="I101" s="73">
        <f t="shared" si="5"/>
        <v>74.09677320013607</v>
      </c>
      <c r="J101" s="73">
        <f t="shared" si="9"/>
        <v>1.529776404403011E-4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26.783807569487291</v>
      </c>
      <c r="G102" s="73">
        <f t="shared" si="7"/>
        <v>1.0919850498157992E-3</v>
      </c>
      <c r="H102" s="73">
        <f t="shared" si="8"/>
        <v>94.163537904939417</v>
      </c>
      <c r="I102" s="73">
        <f t="shared" si="5"/>
        <v>94.163537904939417</v>
      </c>
      <c r="J102" s="73">
        <f t="shared" si="9"/>
        <v>7.014964311068719E-5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28.233543824450663</v>
      </c>
      <c r="G103" s="73">
        <f t="shared" si="7"/>
        <v>6.1140064570570376E-4</v>
      </c>
      <c r="H103" s="73">
        <f t="shared" si="8"/>
        <v>119.66475040452475</v>
      </c>
      <c r="I103" s="73">
        <f t="shared" si="5"/>
        <v>119.66475040452475</v>
      </c>
      <c r="J103" s="73">
        <f t="shared" si="9"/>
        <v>3.090659737010521E-5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29.683280079414033</v>
      </c>
      <c r="G104" s="73">
        <f t="shared" si="7"/>
        <v>3.2889957649917561E-4</v>
      </c>
      <c r="H104" s="73">
        <f t="shared" si="8"/>
        <v>152.0721587992293</v>
      </c>
      <c r="I104" s="73">
        <f t="shared" si="5"/>
        <v>152.0721587992293</v>
      </c>
      <c r="J104" s="73">
        <f t="shared" si="9"/>
        <v>1.3082933799239713E-5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31.133016334377409</v>
      </c>
      <c r="G105" s="73">
        <f t="shared" si="7"/>
        <v>1.69992185027353E-4</v>
      </c>
      <c r="H105" s="73">
        <f t="shared" si="8"/>
        <v>193.25608755862677</v>
      </c>
      <c r="I105" s="73">
        <f t="shared" si="5"/>
        <v>193.25608755862677</v>
      </c>
      <c r="J105" s="73">
        <f t="shared" si="9"/>
        <v>5.3209271616536324E-6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32.582752589340778</v>
      </c>
      <c r="G106" s="73">
        <f t="shared" si="7"/>
        <v>8.4415620843973491E-5</v>
      </c>
      <c r="H106" s="73">
        <f t="shared" si="8"/>
        <v>245.59337930998606</v>
      </c>
      <c r="I106" s="73">
        <f t="shared" si="5"/>
        <v>245.59337930998606</v>
      </c>
      <c r="J106" s="73">
        <f t="shared" si="9"/>
        <v>2.0792068853837663E-6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34.032488844304154</v>
      </c>
      <c r="G107" s="73">
        <f t="shared" si="7"/>
        <v>4.0275867392007053E-5</v>
      </c>
      <c r="H107" s="73">
        <f t="shared" si="8"/>
        <v>312.10456924209984</v>
      </c>
      <c r="I107" s="73">
        <f t="shared" si="5"/>
        <v>312.10456924209984</v>
      </c>
      <c r="J107" s="73">
        <f t="shared" si="9"/>
        <v>7.8061396455031776E-7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35.482225099267524</v>
      </c>
      <c r="G108" s="73">
        <f t="shared" si="7"/>
        <v>1.8462699723028079E-5</v>
      </c>
      <c r="H108" s="73">
        <f t="shared" si="8"/>
        <v>396.62820885267996</v>
      </c>
      <c r="I108" s="73">
        <f t="shared" si="5"/>
        <v>396.62820885267996</v>
      </c>
      <c r="J108" s="73">
        <f t="shared" si="9"/>
        <v>2.8158087128855484E-7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36.931961354230893</v>
      </c>
      <c r="G109" s="73">
        <f t="shared" si="7"/>
        <v>8.1315573856607239E-6</v>
      </c>
      <c r="H109" s="73">
        <f t="shared" si="8"/>
        <v>504.04239976267911</v>
      </c>
      <c r="I109" s="73">
        <f t="shared" si="5"/>
        <v>504.04239976267911</v>
      </c>
      <c r="J109" s="73">
        <f t="shared" si="9"/>
        <v>9.7588400842789109E-8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38.381697609194276</v>
      </c>
      <c r="G110" s="73">
        <f t="shared" si="7"/>
        <v>3.4409667558024273E-6</v>
      </c>
      <c r="H110" s="73">
        <f t="shared" si="8"/>
        <v>640.5463229492226</v>
      </c>
      <c r="I110" s="73">
        <f t="shared" si="5"/>
        <v>640.5463229492226</v>
      </c>
      <c r="J110" s="73">
        <f t="shared" si="9"/>
        <v>3.2495369158464309E-8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39.831433864157646</v>
      </c>
      <c r="G111" s="73">
        <f t="shared" si="7"/>
        <v>1.3989926830853006E-6</v>
      </c>
      <c r="H111" s="73">
        <f t="shared" si="8"/>
        <v>814.0180112564999</v>
      </c>
      <c r="I111" s="73">
        <f t="shared" si="5"/>
        <v>814.0180112564999</v>
      </c>
      <c r="J111" s="73">
        <f t="shared" si="9"/>
        <v>1.0396160351127637E-8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41.281170119121015</v>
      </c>
      <c r="G112" s="73">
        <f t="shared" si="7"/>
        <v>5.464854834760206E-7</v>
      </c>
      <c r="H112" s="73">
        <f t="shared" si="8"/>
        <v>1034.469013262159</v>
      </c>
      <c r="I112" s="73">
        <f t="shared" si="5"/>
        <v>1034.469013262159</v>
      </c>
      <c r="J112" s="73">
        <f t="shared" si="9"/>
        <v>3.1956020022468755E-9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42.730906374084313</v>
      </c>
      <c r="G113" s="73">
        <f t="shared" si="7"/>
        <v>2.0510206730973415E-7</v>
      </c>
      <c r="H113" s="73">
        <f t="shared" si="8"/>
        <v>1314.6221884547138</v>
      </c>
      <c r="I113" s="73">
        <f t="shared" si="5"/>
        <v>1314.6221884547138</v>
      </c>
      <c r="J113" s="73">
        <f t="shared" si="9"/>
        <v>9.4375794435770263E-10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-0.35826694804760878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60.428175983808543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-1.3845456273540817E-3</v>
      </c>
      <c r="H120" s="69" t="s">
        <v>50</v>
      </c>
      <c r="I120" s="79">
        <f>IF($B$9&gt;3,INDEX(XX!$C$4:$C$150,$B$9))</f>
        <v>0.23350000000000001</v>
      </c>
      <c r="J120" s="79">
        <f>IF($B$9&gt;3,INDEX(XX!$D$4:$D$150,$B$9))</f>
        <v>0.30380000000000001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0.67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60.427248338238215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42341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1.8051295760093709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43" sqref="M43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139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35878</v>
      </c>
      <c r="N3" s="57">
        <v>3.3</v>
      </c>
      <c r="O3" s="58">
        <f t="shared" ref="O3:O66" si="0">IF($N3&gt;0,LN($N3+$B$26))</f>
        <v>1.33500106673234</v>
      </c>
      <c r="T3" s="69" t="s">
        <v>109</v>
      </c>
      <c r="U3" s="82">
        <f>$B$21</f>
        <v>2.8670711490219478</v>
      </c>
      <c r="V3" s="82">
        <f t="shared" ref="V3:V10" si="1">U3</f>
        <v>2.8670711490219478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35977</v>
      </c>
      <c r="N4" s="57">
        <v>1</v>
      </c>
      <c r="O4" s="58">
        <f t="shared" si="0"/>
        <v>0.40546510810816438</v>
      </c>
      <c r="T4" s="69" t="s">
        <v>111</v>
      </c>
      <c r="U4" s="82">
        <f>$B$31</f>
        <v>2.7355536551739323</v>
      </c>
      <c r="V4" s="82">
        <f t="shared" si="1"/>
        <v>2.7355536551739323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36067</v>
      </c>
      <c r="N5" s="57">
        <v>1.4</v>
      </c>
      <c r="O5" s="58">
        <f t="shared" si="0"/>
        <v>0.64185388617239469</v>
      </c>
      <c r="T5" s="69" t="s">
        <v>110</v>
      </c>
      <c r="U5" s="82">
        <f>$B$22</f>
        <v>3.2024550248473842</v>
      </c>
      <c r="V5" s="82">
        <f t="shared" si="1"/>
        <v>3.2024550248473842</v>
      </c>
    </row>
    <row r="6" spans="1:24" ht="15" customHeight="1" x14ac:dyDescent="0.25">
      <c r="A6" s="107" t="s">
        <v>18</v>
      </c>
      <c r="B6" s="116">
        <v>0.5</v>
      </c>
      <c r="C6" s="18"/>
      <c r="M6" s="56">
        <v>36130</v>
      </c>
      <c r="N6" s="57">
        <v>3.5</v>
      </c>
      <c r="O6" s="58">
        <f t="shared" si="0"/>
        <v>1.3862943611198906</v>
      </c>
      <c r="T6" s="69" t="s">
        <v>29</v>
      </c>
      <c r="U6" s="82">
        <f>$B$32</f>
        <v>3.5108750256515586</v>
      </c>
      <c r="V6" s="82">
        <f t="shared" si="1"/>
        <v>3.5108750256515586</v>
      </c>
    </row>
    <row r="7" spans="1:24" ht="15" customHeight="1" x14ac:dyDescent="0.2">
      <c r="D7" s="4"/>
      <c r="F7" s="5"/>
      <c r="M7" s="56">
        <v>36241</v>
      </c>
      <c r="N7" s="57">
        <v>3.3</v>
      </c>
      <c r="O7" s="58">
        <f t="shared" si="0"/>
        <v>1.33500106673234</v>
      </c>
      <c r="T7" s="69" t="s">
        <v>31</v>
      </c>
      <c r="U7" s="82">
        <f>$C$21</f>
        <v>-0.72118879608077169</v>
      </c>
      <c r="V7" s="82">
        <f t="shared" si="1"/>
        <v>-0.72118879608077169</v>
      </c>
    </row>
    <row r="8" spans="1:24" ht="15" customHeight="1" x14ac:dyDescent="0.25">
      <c r="A8" s="140" t="s">
        <v>12</v>
      </c>
      <c r="B8" s="140"/>
      <c r="C8" s="140"/>
      <c r="D8" s="4"/>
      <c r="M8" s="56">
        <v>36305</v>
      </c>
      <c r="N8" s="57">
        <v>1</v>
      </c>
      <c r="O8" s="58">
        <f t="shared" si="0"/>
        <v>0.40546510810816438</v>
      </c>
      <c r="T8" s="69" t="s">
        <v>32</v>
      </c>
      <c r="U8" s="82">
        <f>$C$31</f>
        <v>-0.71955765902691537</v>
      </c>
      <c r="V8" s="82">
        <f t="shared" si="1"/>
        <v>-0.71955765902691537</v>
      </c>
    </row>
    <row r="9" spans="1:24" ht="15" customHeight="1" x14ac:dyDescent="0.2">
      <c r="A9" s="101" t="s">
        <v>11</v>
      </c>
      <c r="B9" s="59">
        <f>COUNT($M$3:$M252)</f>
        <v>68</v>
      </c>
      <c r="C9" s="60"/>
      <c r="D9" s="4"/>
      <c r="M9" s="56">
        <v>36384</v>
      </c>
      <c r="N9" s="57">
        <v>0.5</v>
      </c>
      <c r="O9" s="58">
        <f t="shared" si="0"/>
        <v>0</v>
      </c>
      <c r="T9" s="69" t="s">
        <v>112</v>
      </c>
      <c r="U9" s="82">
        <f>$C$22</f>
        <v>-1.0565726719062074</v>
      </c>
      <c r="V9" s="82">
        <f t="shared" si="1"/>
        <v>-1.0565726719062074</v>
      </c>
    </row>
    <row r="10" spans="1:24" ht="15" customHeight="1" x14ac:dyDescent="0.2">
      <c r="A10" s="102" t="s">
        <v>7</v>
      </c>
      <c r="B10" s="61">
        <f>MIN($N$3:$N$252)</f>
        <v>0.1</v>
      </c>
      <c r="C10" s="60"/>
      <c r="D10" s="4"/>
      <c r="M10" s="56">
        <v>36474</v>
      </c>
      <c r="N10" s="57">
        <v>1</v>
      </c>
      <c r="O10" s="58">
        <f t="shared" si="0"/>
        <v>0.40546510810816438</v>
      </c>
      <c r="T10" s="69" t="s">
        <v>113</v>
      </c>
      <c r="U10" s="82">
        <f>$C$32</f>
        <v>-0.91203405954225369</v>
      </c>
      <c r="V10" s="82">
        <f t="shared" si="1"/>
        <v>-0.91203405954225369</v>
      </c>
    </row>
    <row r="11" spans="1:24" ht="15" customHeight="1" x14ac:dyDescent="0.2">
      <c r="A11" s="102" t="s">
        <v>8</v>
      </c>
      <c r="B11" s="61">
        <f>MAX($N$3:$N$252)</f>
        <v>3.9</v>
      </c>
      <c r="C11" s="60"/>
      <c r="D11" s="4"/>
      <c r="M11" s="56">
        <v>36585</v>
      </c>
      <c r="N11" s="57">
        <v>2.6</v>
      </c>
      <c r="O11" s="58">
        <f t="shared" si="0"/>
        <v>1.1314021114911006</v>
      </c>
      <c r="T11" s="69" t="s">
        <v>68</v>
      </c>
      <c r="U11" s="82">
        <f>$B$12</f>
        <v>0.86499999999999999</v>
      </c>
      <c r="V11" s="82">
        <f>U11</f>
        <v>0.86499999999999999</v>
      </c>
    </row>
    <row r="12" spans="1:24" ht="15" customHeight="1" x14ac:dyDescent="0.2">
      <c r="A12" s="102" t="s">
        <v>68</v>
      </c>
      <c r="B12" s="62">
        <f>MEDIAN($N$3:$N$252)</f>
        <v>0.86499999999999999</v>
      </c>
      <c r="C12" s="50"/>
      <c r="D12" s="4"/>
      <c r="M12" s="56">
        <v>36692</v>
      </c>
      <c r="N12" s="57">
        <v>0.7</v>
      </c>
      <c r="O12" s="58">
        <f t="shared" si="0"/>
        <v>0.18232155679395459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95%</v>
      </c>
      <c r="C13" s="50"/>
      <c r="M13" s="56">
        <v>36781</v>
      </c>
      <c r="N13" s="57">
        <v>0.2</v>
      </c>
      <c r="O13" s="58">
        <f t="shared" si="0"/>
        <v>-0.35667494393873245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36857</v>
      </c>
      <c r="N14" s="57">
        <v>0.1</v>
      </c>
      <c r="O14" s="58">
        <f t="shared" si="0"/>
        <v>-0.51082562376599072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36979</v>
      </c>
      <c r="N15" s="57">
        <v>2.2999999999999998</v>
      </c>
      <c r="O15" s="58">
        <f t="shared" si="0"/>
        <v>1.0296194171811581</v>
      </c>
      <c r="T15" s="69">
        <v>1</v>
      </c>
      <c r="U15" s="77">
        <f t="shared" ref="U15:U39" si="3">$B$36+T15*$B$38</f>
        <v>0.1638</v>
      </c>
      <c r="V15" s="84">
        <f>FREQUENCY($N$3:$N$252,$U$15:$U$39)</f>
        <v>4</v>
      </c>
      <c r="W15" s="79">
        <f t="shared" ref="W15:W39" si="4">(U15+U14)/2</f>
        <v>8.1900000000000001E-2</v>
      </c>
      <c r="X15" s="80">
        <f t="shared" si="2"/>
        <v>0.35911800617682971</v>
      </c>
    </row>
    <row r="16" spans="1:24" ht="15" customHeight="1" x14ac:dyDescent="0.2">
      <c r="A16" s="101" t="s">
        <v>73</v>
      </c>
      <c r="B16" s="63">
        <f>AVERAGE($N$3:$N$252)</f>
        <v>1.0729411764705883</v>
      </c>
      <c r="C16" s="60"/>
      <c r="M16" s="56">
        <v>37053</v>
      </c>
      <c r="N16" s="57">
        <v>1.7</v>
      </c>
      <c r="O16" s="58">
        <f t="shared" si="0"/>
        <v>0.78845736036427028</v>
      </c>
      <c r="T16" s="69">
        <v>2</v>
      </c>
      <c r="U16" s="77">
        <f t="shared" si="3"/>
        <v>0.3276</v>
      </c>
      <c r="V16" s="84">
        <f t="array" ref="V16:V40">FREQUENCY($N$3:$N$252,$U$15:$U$39)</f>
        <v>4</v>
      </c>
      <c r="W16" s="79">
        <f t="shared" si="4"/>
        <v>0.2457</v>
      </c>
      <c r="X16" s="80">
        <f t="shared" si="2"/>
        <v>0.35911800617682971</v>
      </c>
    </row>
    <row r="17" spans="1:24" ht="15" customHeight="1" x14ac:dyDescent="0.2">
      <c r="A17" s="102" t="s">
        <v>75</v>
      </c>
      <c r="B17" s="62">
        <f>STDEV($N$3:$N$252)</f>
        <v>0.915389255467564</v>
      </c>
      <c r="C17" s="60"/>
      <c r="D17" s="4"/>
      <c r="M17" s="56">
        <v>37145</v>
      </c>
      <c r="N17" s="57">
        <v>0.7</v>
      </c>
      <c r="O17" s="58">
        <f t="shared" si="0"/>
        <v>0.18232155679395459</v>
      </c>
      <c r="T17" s="69">
        <v>3</v>
      </c>
      <c r="U17" s="77">
        <f t="shared" si="3"/>
        <v>0.4914</v>
      </c>
      <c r="V17" s="84">
        <v>9</v>
      </c>
      <c r="W17" s="79">
        <f t="shared" si="4"/>
        <v>0.40949999999999998</v>
      </c>
      <c r="X17" s="80">
        <f t="shared" si="2"/>
        <v>0.80801551389786674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0.23807351769270568</v>
      </c>
      <c r="C18" s="114" t="s">
        <v>45</v>
      </c>
      <c r="D18" s="4"/>
      <c r="J18" s="6"/>
      <c r="M18" s="56">
        <v>37224</v>
      </c>
      <c r="N18" s="57">
        <v>0.1</v>
      </c>
      <c r="O18" s="58">
        <f t="shared" si="0"/>
        <v>-0.51082562376599072</v>
      </c>
      <c r="T18" s="69">
        <v>4</v>
      </c>
      <c r="U18" s="77">
        <f t="shared" si="3"/>
        <v>0.6552</v>
      </c>
      <c r="V18" s="84">
        <v>9</v>
      </c>
      <c r="W18" s="79">
        <f t="shared" si="4"/>
        <v>0.57330000000000003</v>
      </c>
      <c r="X18" s="80">
        <f t="shared" si="2"/>
        <v>0.80801551389786674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mäßig</v>
      </c>
      <c r="C19" s="64"/>
      <c r="D19" s="4"/>
      <c r="M19" s="56">
        <v>37306</v>
      </c>
      <c r="N19" s="57">
        <v>1</v>
      </c>
      <c r="O19" s="58">
        <f t="shared" si="0"/>
        <v>0.40546510810816438</v>
      </c>
      <c r="T19" s="69">
        <v>5</v>
      </c>
      <c r="U19" s="77">
        <f t="shared" si="3"/>
        <v>0.81899999999999995</v>
      </c>
      <c r="V19" s="84">
        <v>5</v>
      </c>
      <c r="W19" s="79">
        <f t="shared" si="4"/>
        <v>0.73709999999999998</v>
      </c>
      <c r="X19" s="80">
        <f t="shared" si="2"/>
        <v>0.44889750772103709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37418</v>
      </c>
      <c r="N20" s="57">
        <v>3.9</v>
      </c>
      <c r="O20" s="58">
        <f t="shared" si="0"/>
        <v>1.4816045409242156</v>
      </c>
      <c r="T20" s="69">
        <v>6</v>
      </c>
      <c r="U20" s="77">
        <f t="shared" si="3"/>
        <v>0.98280000000000001</v>
      </c>
      <c r="V20" s="84">
        <v>4</v>
      </c>
      <c r="W20" s="79">
        <f t="shared" si="4"/>
        <v>0.90090000000000003</v>
      </c>
      <c r="X20" s="80">
        <f t="shared" si="2"/>
        <v>0.35911800617682971</v>
      </c>
    </row>
    <row r="21" spans="1:24" ht="15" customHeight="1" x14ac:dyDescent="0.2">
      <c r="A21" s="103" t="s">
        <v>76</v>
      </c>
      <c r="B21" s="62">
        <f>NORMINV(0.975,$B$16,$B$17)</f>
        <v>2.8670711490219478</v>
      </c>
      <c r="C21" s="62">
        <f>NORMINV(0.025,$B$16,$B$17)</f>
        <v>-0.72118879608077169</v>
      </c>
      <c r="D21" s="4"/>
      <c r="M21" s="56">
        <v>37494</v>
      </c>
      <c r="N21" s="57">
        <v>0.2</v>
      </c>
      <c r="O21" s="58">
        <f t="shared" si="0"/>
        <v>-0.35667494393873245</v>
      </c>
      <c r="T21" s="69">
        <v>7</v>
      </c>
      <c r="U21" s="77">
        <f t="shared" si="3"/>
        <v>1.1466000000000001</v>
      </c>
      <c r="V21" s="84">
        <v>7</v>
      </c>
      <c r="W21" s="79">
        <f t="shared" si="4"/>
        <v>1.0647</v>
      </c>
      <c r="X21" s="80">
        <f t="shared" si="2"/>
        <v>0.62845651080945197</v>
      </c>
    </row>
    <row r="22" spans="1:24" ht="15" customHeight="1" x14ac:dyDescent="0.2">
      <c r="A22" s="104" t="s">
        <v>77</v>
      </c>
      <c r="B22" s="62">
        <f>NORMINV(0.99,$B$16,$B$17)</f>
        <v>3.2024550248473842</v>
      </c>
      <c r="C22" s="62">
        <f>NORMINV(0.01,B16,B17)</f>
        <v>-1.0565726719062074</v>
      </c>
      <c r="M22" s="56">
        <v>37557</v>
      </c>
      <c r="N22" s="57">
        <v>0.2</v>
      </c>
      <c r="O22" s="58">
        <f t="shared" si="0"/>
        <v>-0.35667494393873245</v>
      </c>
      <c r="T22" s="69">
        <v>8</v>
      </c>
      <c r="U22" s="77">
        <f t="shared" si="3"/>
        <v>1.3104</v>
      </c>
      <c r="V22" s="84">
        <v>9</v>
      </c>
      <c r="W22" s="79">
        <f t="shared" si="4"/>
        <v>1.2284999999999999</v>
      </c>
      <c r="X22" s="80">
        <f t="shared" si="2"/>
        <v>0.80801551389786674</v>
      </c>
    </row>
    <row r="23" spans="1:24" ht="15" customHeight="1" x14ac:dyDescent="0.25">
      <c r="A23" s="112" t="s">
        <v>81</v>
      </c>
      <c r="B23" s="96">
        <f>MAX($B$22+0.5*$B$6,$B$6)</f>
        <v>3.4524550248473842</v>
      </c>
      <c r="E23" s="144" t="s">
        <v>80</v>
      </c>
      <c r="F23" s="144"/>
      <c r="G23" s="144"/>
      <c r="M23" s="56">
        <v>37663</v>
      </c>
      <c r="N23" s="57">
        <v>1.8</v>
      </c>
      <c r="O23" s="58">
        <f t="shared" si="0"/>
        <v>0.83290912293510388</v>
      </c>
      <c r="T23" s="69">
        <v>9</v>
      </c>
      <c r="U23" s="77">
        <f t="shared" si="3"/>
        <v>1.4742</v>
      </c>
      <c r="V23" s="84">
        <v>1</v>
      </c>
      <c r="W23" s="79">
        <f t="shared" si="4"/>
        <v>1.3923000000000001</v>
      </c>
      <c r="X23" s="80">
        <f t="shared" si="2"/>
        <v>8.9779501544207427E-2</v>
      </c>
    </row>
    <row r="24" spans="1:24" ht="15" customHeight="1" x14ac:dyDescent="0.2">
      <c r="M24" s="56">
        <v>37774</v>
      </c>
      <c r="N24" s="57">
        <v>0.4</v>
      </c>
      <c r="O24" s="58">
        <f t="shared" si="0"/>
        <v>-0.10536051565782628</v>
      </c>
      <c r="T24" s="69">
        <v>10</v>
      </c>
      <c r="U24" s="77">
        <f t="shared" si="3"/>
        <v>1.6379999999999999</v>
      </c>
      <c r="V24" s="84">
        <v>3</v>
      </c>
      <c r="W24" s="79">
        <f t="shared" si="4"/>
        <v>1.5560999999999998</v>
      </c>
      <c r="X24" s="80">
        <f t="shared" si="2"/>
        <v>0.26933850463262227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37868</v>
      </c>
      <c r="N25" s="57">
        <v>1</v>
      </c>
      <c r="O25" s="58">
        <f t="shared" si="0"/>
        <v>0.40546510810816438</v>
      </c>
      <c r="Q25" s="75" t="s">
        <v>68</v>
      </c>
      <c r="R25" s="75">
        <f>MEDIAN($O$3:$O$252)</f>
        <v>0.31109404580972566</v>
      </c>
      <c r="T25" s="69">
        <v>11</v>
      </c>
      <c r="U25" s="77">
        <f t="shared" si="3"/>
        <v>1.8018000000000001</v>
      </c>
      <c r="V25" s="84">
        <v>4</v>
      </c>
      <c r="W25" s="79">
        <f t="shared" si="4"/>
        <v>1.7199</v>
      </c>
      <c r="X25" s="80">
        <f t="shared" si="2"/>
        <v>0.35911800617682971</v>
      </c>
    </row>
    <row r="26" spans="1:24" ht="15" customHeight="1" x14ac:dyDescent="0.2">
      <c r="A26" s="86" t="s">
        <v>36</v>
      </c>
      <c r="B26" s="134">
        <v>0.5</v>
      </c>
      <c r="C26" s="62"/>
      <c r="E26" s="7" t="e">
        <f>AVERAGE(C50:C199)</f>
        <v>#DIV/0!</v>
      </c>
      <c r="M26" s="56">
        <v>37952</v>
      </c>
      <c r="N26" s="57">
        <v>1.6</v>
      </c>
      <c r="O26" s="58">
        <f t="shared" si="0"/>
        <v>0.74193734472937733</v>
      </c>
      <c r="Q26" s="75" t="s">
        <v>73</v>
      </c>
      <c r="R26" s="75">
        <f>AVERAGE($O$3:$O$252)</f>
        <v>0.31009136128886328</v>
      </c>
      <c r="T26" s="69">
        <v>12</v>
      </c>
      <c r="U26" s="77">
        <f t="shared" si="3"/>
        <v>1.9656</v>
      </c>
      <c r="V26" s="84">
        <v>2</v>
      </c>
      <c r="W26" s="79">
        <f t="shared" si="4"/>
        <v>1.8837000000000002</v>
      </c>
      <c r="X26" s="80">
        <f t="shared" si="2"/>
        <v>0.17955900308841485</v>
      </c>
    </row>
    <row r="27" spans="1:24" ht="15" customHeight="1" x14ac:dyDescent="0.2">
      <c r="A27" s="65" t="s">
        <v>17</v>
      </c>
      <c r="B27" s="62">
        <f>EXP($R$26)</f>
        <v>1.3635496840982231</v>
      </c>
      <c r="C27" s="62"/>
      <c r="E27" s="7" t="e">
        <f>STDEV(C50:C199)</f>
        <v>#DIV/0!</v>
      </c>
      <c r="F27" s="7" t="e">
        <f>NORMINV(0.025,$E26,$E27)</f>
        <v>#DIV/0!</v>
      </c>
      <c r="M27" s="56">
        <v>38034</v>
      </c>
      <c r="N27" s="57">
        <v>2.2999999999999998</v>
      </c>
      <c r="O27" s="58">
        <f t="shared" si="0"/>
        <v>1.0296194171811581</v>
      </c>
      <c r="Q27" s="75" t="s">
        <v>104</v>
      </c>
      <c r="R27" s="75">
        <f>STDEV($O$3:$O$252)</f>
        <v>0.52534078607439672</v>
      </c>
      <c r="T27" s="69">
        <v>13</v>
      </c>
      <c r="U27" s="77">
        <f t="shared" si="3"/>
        <v>2.1294</v>
      </c>
      <c r="V27" s="84">
        <v>0</v>
      </c>
      <c r="W27" s="79">
        <f t="shared" si="4"/>
        <v>2.0474999999999999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-2.0003205362092214E-3</v>
      </c>
      <c r="C28" s="115" t="s">
        <v>45</v>
      </c>
      <c r="F28" s="7" t="e">
        <f>NORMINV(0.01,$E$26,$E$27)</f>
        <v>#DIV/0!</v>
      </c>
      <c r="M28" s="56">
        <v>38154</v>
      </c>
      <c r="N28" s="57">
        <v>2</v>
      </c>
      <c r="O28" s="58">
        <f t="shared" si="0"/>
        <v>0.91629073187415511</v>
      </c>
      <c r="Q28" s="75" t="s">
        <v>108</v>
      </c>
      <c r="R28" s="75">
        <f>NORMINV(0.025,$R$26,$R$27)</f>
        <v>-0.71955765902691537</v>
      </c>
      <c r="T28" s="69">
        <v>14</v>
      </c>
      <c r="U28" s="77">
        <f t="shared" si="3"/>
        <v>2.2932000000000001</v>
      </c>
      <c r="V28" s="84">
        <v>2</v>
      </c>
      <c r="W28" s="79">
        <f t="shared" si="4"/>
        <v>2.2113</v>
      </c>
      <c r="X28" s="80">
        <f t="shared" si="2"/>
        <v>0.17955900308841485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38222</v>
      </c>
      <c r="N29" s="57">
        <v>0.4</v>
      </c>
      <c r="O29" s="58">
        <f t="shared" si="0"/>
        <v>-0.10536051565782628</v>
      </c>
      <c r="Q29" s="75" t="s">
        <v>107</v>
      </c>
      <c r="R29" s="75">
        <f>NORMINV(0.01,$R$26,$R$27)</f>
        <v>-0.91203405954225369</v>
      </c>
      <c r="T29" s="69">
        <v>15</v>
      </c>
      <c r="U29" s="77">
        <f t="shared" si="3"/>
        <v>2.4569999999999999</v>
      </c>
      <c r="V29" s="84">
        <v>0</v>
      </c>
      <c r="W29" s="79">
        <f t="shared" si="4"/>
        <v>2.3750999999999998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38302</v>
      </c>
      <c r="N30" s="57">
        <v>0.2</v>
      </c>
      <c r="O30" s="58">
        <f t="shared" si="0"/>
        <v>-0.35667494393873245</v>
      </c>
      <c r="Q30" s="75" t="s">
        <v>105</v>
      </c>
      <c r="R30" s="75">
        <f>NORMINV(0.95,$R$26,$R$27)</f>
        <v>1.1742000586488719</v>
      </c>
      <c r="T30" s="69">
        <v>16</v>
      </c>
      <c r="U30" s="77">
        <f t="shared" si="3"/>
        <v>2.6208</v>
      </c>
      <c r="V30" s="84">
        <v>2</v>
      </c>
      <c r="W30" s="79">
        <f t="shared" si="4"/>
        <v>2.5388999999999999</v>
      </c>
      <c r="X30" s="80">
        <f t="shared" si="2"/>
        <v>0.17955900308841485</v>
      </c>
    </row>
    <row r="31" spans="1:24" ht="15" customHeight="1" x14ac:dyDescent="0.2">
      <c r="A31" s="65" t="s">
        <v>98</v>
      </c>
      <c r="B31" s="62">
        <f>EXP($R30)-$B$26</f>
        <v>2.7355536551739323</v>
      </c>
      <c r="C31" s="62">
        <f>NORMINV(0.025,$R$26,$R$27)</f>
        <v>-0.71955765902691537</v>
      </c>
      <c r="E31" s="7" t="e">
        <f>NORMINV(0.98,$E$26,$E$27)</f>
        <v>#DIV/0!</v>
      </c>
      <c r="M31" s="56">
        <v>38378</v>
      </c>
      <c r="N31" s="57">
        <v>2</v>
      </c>
      <c r="O31" s="58">
        <f t="shared" si="0"/>
        <v>0.91629073187415511</v>
      </c>
      <c r="Q31" s="75" t="s">
        <v>106</v>
      </c>
      <c r="R31" s="75">
        <f>NORMINV(0.98,$R$26,$R$27)</f>
        <v>1.3890094283996208</v>
      </c>
      <c r="T31" s="69">
        <v>17</v>
      </c>
      <c r="U31" s="77">
        <f t="shared" si="3"/>
        <v>2.7846000000000002</v>
      </c>
      <c r="V31" s="84">
        <v>2</v>
      </c>
      <c r="W31" s="79">
        <f t="shared" si="4"/>
        <v>2.7027000000000001</v>
      </c>
      <c r="X31" s="80">
        <f t="shared" si="2"/>
        <v>0.17955900308841485</v>
      </c>
    </row>
    <row r="32" spans="1:24" ht="15" customHeight="1" x14ac:dyDescent="0.2">
      <c r="A32" s="65" t="s">
        <v>86</v>
      </c>
      <c r="B32" s="62">
        <f>EXP($R$31)-$B$26</f>
        <v>3.5108750256515586</v>
      </c>
      <c r="C32" s="62">
        <f>NORMINV(0.01,$R$26,$R$27)</f>
        <v>-0.91203405954225369</v>
      </c>
      <c r="M32" s="56">
        <v>38489</v>
      </c>
      <c r="N32" s="57">
        <v>1.4</v>
      </c>
      <c r="O32" s="58">
        <f t="shared" si="0"/>
        <v>0.64185388617239469</v>
      </c>
      <c r="T32" s="69">
        <v>18</v>
      </c>
      <c r="U32" s="77">
        <f t="shared" si="3"/>
        <v>2.9483999999999999</v>
      </c>
      <c r="V32" s="84">
        <v>0</v>
      </c>
      <c r="W32" s="79">
        <f t="shared" si="4"/>
        <v>2.8665000000000003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3.7608750256515586</v>
      </c>
      <c r="M33" s="56">
        <v>38575</v>
      </c>
      <c r="N33" s="57">
        <v>0.5</v>
      </c>
      <c r="O33" s="58">
        <f t="shared" si="0"/>
        <v>0</v>
      </c>
      <c r="T33" s="69">
        <v>19</v>
      </c>
      <c r="U33" s="77">
        <f t="shared" si="3"/>
        <v>3.1122000000000001</v>
      </c>
      <c r="V33" s="84">
        <v>0</v>
      </c>
      <c r="W33" s="79">
        <f t="shared" si="4"/>
        <v>3.0303</v>
      </c>
      <c r="X33" s="80">
        <f t="shared" si="2"/>
        <v>0</v>
      </c>
    </row>
    <row r="34" spans="1:24" ht="15" customHeight="1" x14ac:dyDescent="0.2">
      <c r="M34" s="56">
        <v>38663</v>
      </c>
      <c r="N34" s="57">
        <v>0.25</v>
      </c>
      <c r="O34" s="58">
        <f t="shared" si="0"/>
        <v>-0.2876820724517809</v>
      </c>
      <c r="T34" s="69">
        <v>20</v>
      </c>
      <c r="U34" s="77">
        <f t="shared" si="3"/>
        <v>3.2759999999999998</v>
      </c>
      <c r="V34" s="84">
        <v>0</v>
      </c>
      <c r="W34" s="79">
        <f t="shared" si="4"/>
        <v>3.1940999999999997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38777</v>
      </c>
      <c r="N35" s="57">
        <v>1.1000000000000001</v>
      </c>
      <c r="O35" s="58">
        <f t="shared" si="0"/>
        <v>0.47000362924573563</v>
      </c>
      <c r="T35" s="69">
        <v>21</v>
      </c>
      <c r="U35" s="77">
        <f t="shared" si="3"/>
        <v>3.4398</v>
      </c>
      <c r="V35" s="84">
        <v>1</v>
      </c>
      <c r="W35" s="79">
        <f t="shared" si="4"/>
        <v>3.3578999999999999</v>
      </c>
      <c r="X35" s="80">
        <f t="shared" si="2"/>
        <v>8.9779501544207427E-2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38876</v>
      </c>
      <c r="N36" s="57">
        <v>0.75</v>
      </c>
      <c r="O36" s="58">
        <f t="shared" si="0"/>
        <v>0.22314355131420976</v>
      </c>
      <c r="T36" s="69">
        <v>22</v>
      </c>
      <c r="U36" s="77">
        <f t="shared" si="3"/>
        <v>3.6036000000000001</v>
      </c>
      <c r="V36" s="84">
        <v>2</v>
      </c>
      <c r="W36" s="79">
        <f t="shared" si="4"/>
        <v>3.5217000000000001</v>
      </c>
      <c r="X36" s="80">
        <f t="shared" si="2"/>
        <v>0.17955900308841485</v>
      </c>
    </row>
    <row r="37" spans="1:24" ht="15.75" x14ac:dyDescent="0.25">
      <c r="A37" s="103" t="s">
        <v>8</v>
      </c>
      <c r="B37" s="52">
        <f>1.05*B11</f>
        <v>4.0949999999999998</v>
      </c>
      <c r="D37" s="8"/>
      <c r="E37" s="8"/>
      <c r="M37" s="56">
        <v>38932</v>
      </c>
      <c r="N37" s="57">
        <v>0.35</v>
      </c>
      <c r="O37" s="58">
        <f t="shared" si="0"/>
        <v>-0.16251892949777494</v>
      </c>
      <c r="T37" s="69">
        <v>23</v>
      </c>
      <c r="U37" s="77">
        <f t="shared" si="3"/>
        <v>3.7673999999999999</v>
      </c>
      <c r="V37" s="84">
        <v>1</v>
      </c>
      <c r="W37" s="79">
        <f t="shared" si="4"/>
        <v>3.6855000000000002</v>
      </c>
      <c r="X37" s="80">
        <f t="shared" si="2"/>
        <v>8.9779501544207427E-2</v>
      </c>
    </row>
    <row r="38" spans="1:24" ht="15" x14ac:dyDescent="0.2">
      <c r="A38" s="104" t="s">
        <v>19</v>
      </c>
      <c r="B38" s="53">
        <f>($B$37-$B$36)/25</f>
        <v>0.1638</v>
      </c>
      <c r="M38" s="56">
        <v>39071</v>
      </c>
      <c r="N38" s="57">
        <v>0.4</v>
      </c>
      <c r="O38" s="58">
        <f t="shared" si="0"/>
        <v>-0.10536051565782628</v>
      </c>
      <c r="T38" s="69">
        <v>24</v>
      </c>
      <c r="U38" s="77">
        <f t="shared" si="3"/>
        <v>3.9312</v>
      </c>
      <c r="V38" s="84">
        <v>0</v>
      </c>
      <c r="W38" s="79">
        <f t="shared" si="4"/>
        <v>3.8492999999999999</v>
      </c>
      <c r="X38" s="80">
        <f t="shared" si="2"/>
        <v>0</v>
      </c>
    </row>
    <row r="39" spans="1:24" ht="15" x14ac:dyDescent="0.2">
      <c r="M39" s="56">
        <v>39126</v>
      </c>
      <c r="N39" s="57">
        <v>1.2</v>
      </c>
      <c r="O39" s="58">
        <f t="shared" si="0"/>
        <v>0.53062825106217038</v>
      </c>
      <c r="T39" s="69">
        <v>25</v>
      </c>
      <c r="U39" s="77">
        <f t="shared" si="3"/>
        <v>4.0949999999999998</v>
      </c>
      <c r="V39" s="84">
        <v>1</v>
      </c>
      <c r="W39" s="79">
        <f t="shared" si="4"/>
        <v>4.0130999999999997</v>
      </c>
      <c r="X39" s="80">
        <f t="shared" si="2"/>
        <v>8.9779501544207427E-2</v>
      </c>
    </row>
    <row r="40" spans="1:24" ht="15" x14ac:dyDescent="0.2">
      <c r="M40" s="56">
        <v>39252</v>
      </c>
      <c r="N40" s="57">
        <v>0.53</v>
      </c>
      <c r="O40" s="58">
        <f t="shared" si="0"/>
        <v>2.9558802241544429E-2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39329</v>
      </c>
      <c r="N41" s="57">
        <v>2.5</v>
      </c>
      <c r="O41" s="58">
        <f t="shared" si="0"/>
        <v>1.0986122886681098</v>
      </c>
    </row>
    <row r="42" spans="1:24" ht="15" x14ac:dyDescent="0.2">
      <c r="M42" s="56">
        <v>39419</v>
      </c>
      <c r="N42" s="57">
        <v>0.9</v>
      </c>
      <c r="O42" s="58">
        <f t="shared" si="0"/>
        <v>0.33647223662121289</v>
      </c>
    </row>
    <row r="43" spans="1:24" ht="15" x14ac:dyDescent="0.2">
      <c r="M43" s="56">
        <v>39511</v>
      </c>
      <c r="N43" s="57">
        <v>0.27</v>
      </c>
      <c r="O43" s="58">
        <f t="shared" si="0"/>
        <v>-0.26136476413440751</v>
      </c>
    </row>
    <row r="44" spans="1:24" ht="15" x14ac:dyDescent="0.2">
      <c r="M44" s="56">
        <v>39609</v>
      </c>
      <c r="N44" s="57">
        <v>0.31</v>
      </c>
      <c r="O44" s="58">
        <f t="shared" si="0"/>
        <v>-0.21072103131565253</v>
      </c>
      <c r="T44" s="83" t="s">
        <v>13</v>
      </c>
    </row>
    <row r="45" spans="1:24" ht="15" x14ac:dyDescent="0.2">
      <c r="M45" s="56">
        <v>39672</v>
      </c>
      <c r="N45" s="57">
        <v>0.18</v>
      </c>
      <c r="O45" s="58">
        <f t="shared" si="0"/>
        <v>-0.38566248081198479</v>
      </c>
      <c r="T45" s="69" t="s">
        <v>26</v>
      </c>
      <c r="U45" s="69" t="s">
        <v>27</v>
      </c>
    </row>
    <row r="46" spans="1:24" ht="15" x14ac:dyDescent="0.2">
      <c r="B46" s="6"/>
      <c r="M46" s="56">
        <v>39771</v>
      </c>
      <c r="N46" s="57">
        <v>1</v>
      </c>
      <c r="O46" s="58">
        <f t="shared" si="0"/>
        <v>0.40546510810816438</v>
      </c>
      <c r="T46" s="85">
        <f>$U$14-$B$38/100</f>
        <v>-1.6379999999999999E-3</v>
      </c>
      <c r="U46" s="28">
        <v>0</v>
      </c>
    </row>
    <row r="47" spans="1:24" ht="15" x14ac:dyDescent="0.2">
      <c r="B47" s="9"/>
      <c r="C47" s="9"/>
      <c r="D47" s="9"/>
      <c r="E47" s="9"/>
      <c r="M47" s="56">
        <v>39888</v>
      </c>
      <c r="N47" s="57">
        <v>0.5</v>
      </c>
      <c r="O47" s="58">
        <f t="shared" si="0"/>
        <v>0</v>
      </c>
      <c r="T47" s="85">
        <f>$U$14+$B$38/100</f>
        <v>1.6379999999999999E-3</v>
      </c>
      <c r="U47" s="28">
        <f>$X$15</f>
        <v>0.35911800617682971</v>
      </c>
    </row>
    <row r="48" spans="1:24" ht="16.149999999999999" customHeight="1" x14ac:dyDescent="0.2">
      <c r="D48" s="9"/>
      <c r="E48" s="9"/>
      <c r="K48" s="11"/>
      <c r="L48" s="12"/>
      <c r="M48" s="56">
        <v>39973</v>
      </c>
      <c r="N48" s="57">
        <v>0.28999999999999998</v>
      </c>
      <c r="O48" s="58">
        <f t="shared" si="0"/>
        <v>-0.23572233352106983</v>
      </c>
      <c r="T48" s="85">
        <f>$U$15-$B$38/100</f>
        <v>0.162162</v>
      </c>
      <c r="U48" s="28">
        <f>$X$15</f>
        <v>0.35911800617682971</v>
      </c>
    </row>
    <row r="49" spans="5:21" ht="15" x14ac:dyDescent="0.2">
      <c r="E49" s="13"/>
      <c r="M49" s="56">
        <v>40071</v>
      </c>
      <c r="N49" s="57">
        <v>0.69</v>
      </c>
      <c r="O49" s="58">
        <f t="shared" si="0"/>
        <v>0.17395330712343798</v>
      </c>
      <c r="T49" s="85">
        <f>$U$15+$B$38/100</f>
        <v>0.165438</v>
      </c>
      <c r="U49" s="28">
        <f>$X$16</f>
        <v>0.35911800617682971</v>
      </c>
    </row>
    <row r="50" spans="5:21" ht="15" x14ac:dyDescent="0.2">
      <c r="E50" s="15"/>
      <c r="M50" s="56">
        <v>40150</v>
      </c>
      <c r="N50" s="57">
        <v>0.4</v>
      </c>
      <c r="O50" s="58">
        <f t="shared" si="0"/>
        <v>-0.10536051565782628</v>
      </c>
      <c r="T50" s="85">
        <f>$U$16-$B$38/100</f>
        <v>0.32596200000000003</v>
      </c>
      <c r="U50" s="28">
        <f>$X$16</f>
        <v>0.35911800617682971</v>
      </c>
    </row>
    <row r="51" spans="5:21" ht="15" x14ac:dyDescent="0.2">
      <c r="E51" s="15"/>
      <c r="M51" s="56">
        <v>40246</v>
      </c>
      <c r="N51" s="57">
        <v>0.98</v>
      </c>
      <c r="O51" s="58">
        <f t="shared" si="0"/>
        <v>0.39204208777602367</v>
      </c>
      <c r="T51" s="85">
        <f>$U$16+$B$38/100</f>
        <v>0.32923799999999998</v>
      </c>
      <c r="U51" s="28">
        <f>$X$17</f>
        <v>0.80801551389786674</v>
      </c>
    </row>
    <row r="52" spans="5:21" ht="15" x14ac:dyDescent="0.2">
      <c r="E52" s="15"/>
      <c r="M52" s="56">
        <v>40339</v>
      </c>
      <c r="N52" s="57">
        <v>0.82</v>
      </c>
      <c r="O52" s="58">
        <f t="shared" si="0"/>
        <v>0.27763173659827939</v>
      </c>
      <c r="T52" s="85">
        <f>$U$17-$B$38/100</f>
        <v>0.48976200000000003</v>
      </c>
      <c r="U52" s="28">
        <f>$X$17</f>
        <v>0.80801551389786674</v>
      </c>
    </row>
    <row r="53" spans="5:21" ht="15" x14ac:dyDescent="0.2">
      <c r="E53" s="15"/>
      <c r="F53" s="15"/>
      <c r="G53" s="15"/>
      <c r="M53" s="56">
        <v>40428</v>
      </c>
      <c r="N53" s="57">
        <v>0.52</v>
      </c>
      <c r="O53" s="58">
        <f t="shared" si="0"/>
        <v>1.980262729617973E-2</v>
      </c>
      <c r="T53" s="85">
        <f>$U$17+$B$38/100</f>
        <v>0.49303799999999998</v>
      </c>
      <c r="U53" s="28">
        <f>$X$18</f>
        <v>0.80801551389786674</v>
      </c>
    </row>
    <row r="54" spans="5:21" ht="15" x14ac:dyDescent="0.2">
      <c r="E54" s="15"/>
      <c r="F54" s="15"/>
      <c r="G54" s="15"/>
      <c r="M54" s="56">
        <v>40512</v>
      </c>
      <c r="N54" s="57">
        <v>1</v>
      </c>
      <c r="O54" s="58">
        <f t="shared" si="0"/>
        <v>0.40546510810816438</v>
      </c>
      <c r="T54" s="85">
        <f>$U$18-$B$38/100</f>
        <v>0.65356199999999998</v>
      </c>
      <c r="U54" s="28">
        <f>$X$18</f>
        <v>0.80801551389786674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40589</v>
      </c>
      <c r="N55" s="57">
        <v>0.42</v>
      </c>
      <c r="O55" s="58">
        <f t="shared" si="0"/>
        <v>-8.3381608939051138E-2</v>
      </c>
      <c r="T55" s="85">
        <f>$U$18+$B$38/100</f>
        <v>0.65683800000000003</v>
      </c>
      <c r="U55" s="28">
        <f>$X$19</f>
        <v>0.44889750772103709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40724</v>
      </c>
      <c r="N56" s="57">
        <v>1.6</v>
      </c>
      <c r="O56" s="58">
        <f t="shared" si="0"/>
        <v>0.74193734472937733</v>
      </c>
      <c r="T56" s="85">
        <f>$U$19-$B$38/100</f>
        <v>0.81736199999999992</v>
      </c>
      <c r="U56" s="28">
        <f>$X$19</f>
        <v>0.44889750772103709</v>
      </c>
    </row>
    <row r="57" spans="5:21" ht="15" x14ac:dyDescent="0.2">
      <c r="E57" s="70">
        <v>1</v>
      </c>
      <c r="F57" s="74">
        <f>$B$21</f>
        <v>2.8670711490219478</v>
      </c>
      <c r="G57" s="74">
        <f>$C$21</f>
        <v>-0.72118879608077169</v>
      </c>
      <c r="H57" s="74">
        <f>$B$22</f>
        <v>3.2024550248473842</v>
      </c>
      <c r="I57" s="74">
        <f>$C$22</f>
        <v>-1.0565726719062074</v>
      </c>
      <c r="J57" s="74">
        <f>$B$31</f>
        <v>2.7355536551739323</v>
      </c>
      <c r="K57" s="74">
        <f>$B$32</f>
        <v>3.5108750256515586</v>
      </c>
      <c r="M57" s="56">
        <v>40801</v>
      </c>
      <c r="N57" s="57">
        <v>0.15</v>
      </c>
      <c r="O57" s="58">
        <f t="shared" si="0"/>
        <v>-0.43078291609245423</v>
      </c>
      <c r="T57" s="85">
        <f>$U$19+$B$38/100</f>
        <v>0.82063799999999998</v>
      </c>
      <c r="U57" s="28">
        <f>$X$20</f>
        <v>0.35911800617682971</v>
      </c>
    </row>
    <row r="58" spans="5:21" ht="15" x14ac:dyDescent="0.2">
      <c r="E58" s="70">
        <v>73415</v>
      </c>
      <c r="F58" s="74">
        <f>$B$21</f>
        <v>2.8670711490219478</v>
      </c>
      <c r="G58" s="74">
        <f>$C$21</f>
        <v>-0.72118879608077169</v>
      </c>
      <c r="H58" s="74">
        <f>$B$22</f>
        <v>3.2024550248473842</v>
      </c>
      <c r="I58" s="74">
        <f>$C$22</f>
        <v>-1.0565726719062074</v>
      </c>
      <c r="J58" s="74">
        <f>$B$31</f>
        <v>2.7355536551739323</v>
      </c>
      <c r="K58" s="74">
        <f>$B$32</f>
        <v>3.5108750256515586</v>
      </c>
      <c r="M58" s="56">
        <v>40879</v>
      </c>
      <c r="N58" s="57">
        <v>0.13</v>
      </c>
      <c r="O58" s="58">
        <f t="shared" si="0"/>
        <v>-0.46203545959655867</v>
      </c>
      <c r="T58" s="85">
        <f>$U$20-$B$38/100</f>
        <v>0.98116199999999998</v>
      </c>
      <c r="U58" s="28">
        <f>$X$20</f>
        <v>0.35911800617682971</v>
      </c>
    </row>
    <row r="59" spans="5:21" ht="15" x14ac:dyDescent="0.2">
      <c r="M59" s="56">
        <v>40961</v>
      </c>
      <c r="N59" s="57">
        <v>0.88</v>
      </c>
      <c r="O59" s="58">
        <f t="shared" si="0"/>
        <v>0.32208349916911322</v>
      </c>
      <c r="T59" s="85">
        <f>$U$20+$B$38/100</f>
        <v>0.98443800000000004</v>
      </c>
      <c r="U59" s="28">
        <f>$X$21</f>
        <v>0.62845651080945197</v>
      </c>
    </row>
    <row r="60" spans="5:21" ht="15" x14ac:dyDescent="0.2">
      <c r="M60" s="56">
        <v>41065</v>
      </c>
      <c r="N60" s="57">
        <v>0.48</v>
      </c>
      <c r="O60" s="58">
        <f t="shared" si="0"/>
        <v>-2.0202707317519466E-2</v>
      </c>
      <c r="T60" s="85">
        <f>$U$21-$B$38/100</f>
        <v>1.144962</v>
      </c>
      <c r="U60" s="28">
        <f>$X$21</f>
        <v>0.62845651080945197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41151</v>
      </c>
      <c r="N61" s="57">
        <v>3.2</v>
      </c>
      <c r="O61" s="58">
        <f t="shared" si="0"/>
        <v>1.3083328196501789</v>
      </c>
      <c r="T61" s="85">
        <f>$U$21+$B$38/100</f>
        <v>1.1482380000000001</v>
      </c>
      <c r="U61" s="28">
        <f>$X$22</f>
        <v>0.80801551389786674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41249</v>
      </c>
      <c r="N62" s="57">
        <v>0.36</v>
      </c>
      <c r="O62" s="58">
        <f t="shared" si="0"/>
        <v>-0.15082288973458366</v>
      </c>
      <c r="T62" s="85">
        <f>$U$22-$B$38/100</f>
        <v>1.308762</v>
      </c>
      <c r="U62" s="28">
        <f>$X$22</f>
        <v>0.80801551389786674</v>
      </c>
    </row>
    <row r="63" spans="5:21" ht="15" x14ac:dyDescent="0.2">
      <c r="E63" s="72">
        <v>-5</v>
      </c>
      <c r="F63" s="73">
        <f>$B$16+$E63*$B$17</f>
        <v>-3.5040051008672313</v>
      </c>
      <c r="G63" s="73">
        <f>NORMDIST($F63,$B$16,$B$17,FALSE)</f>
        <v>1.6241391362791437E-6</v>
      </c>
      <c r="H63" s="73">
        <f>EXP($R$26+$E63*$R$27)</f>
        <v>9.8607045053111603E-2</v>
      </c>
      <c r="I63" s="73">
        <f t="shared" ref="I63:I113" si="5">H63-$B$26</f>
        <v>-0.40139295494688843</v>
      </c>
      <c r="J63" s="73">
        <f>1/$H63/SQRT(2*PI())/$R$27*EXP(-POWER(LN($H63)-$R$26,2)/2/POWER($R$27,2))</f>
        <v>2.8699873195654435E-5</v>
      </c>
      <c r="K63" s="73">
        <f>LOGNORMDIST($H63,$R$26,$R$27)</f>
        <v>2.8665157187919333E-7</v>
      </c>
      <c r="M63" s="56">
        <v>41697</v>
      </c>
      <c r="N63" s="57">
        <v>0.85</v>
      </c>
      <c r="O63" s="58">
        <f t="shared" si="0"/>
        <v>0.30010459245033816</v>
      </c>
      <c r="T63" s="85">
        <f>$U$22+$B$38/100</f>
        <v>1.312038</v>
      </c>
      <c r="U63" s="28">
        <f>$X$23</f>
        <v>8.9779501544207427E-2</v>
      </c>
    </row>
    <row r="64" spans="5:21" ht="15" x14ac:dyDescent="0.2">
      <c r="E64" s="72">
        <v>-4.8</v>
      </c>
      <c r="F64" s="73">
        <f t="shared" ref="F64:F113" si="6">$B$16+$E64*$B$17</f>
        <v>-3.3209272497737183</v>
      </c>
      <c r="G64" s="73">
        <f t="shared" ref="G64:G113" si="7">NORMDIST($F64,$B$16,$B$17,FALSE)</f>
        <v>4.3274476594208183E-6</v>
      </c>
      <c r="H64" s="73">
        <f t="shared" ref="H64:H113" si="8">EXP($R$26+$E64*$R$27)</f>
        <v>0.10953135629409808</v>
      </c>
      <c r="I64" s="73">
        <f t="shared" si="5"/>
        <v>-0.39046864370590195</v>
      </c>
      <c r="J64" s="73">
        <f t="shared" ref="J64:J113" si="9">1/$H64/SQRT(2*PI())/$R$27*EXP(-POWER(LN($H64)-$R$26,2)/2/POWER($R$27,2))</f>
        <v>6.8842724460775322E-5</v>
      </c>
      <c r="K64" s="73">
        <f t="shared" ref="K64:K113" si="10">LOGNORMDIST($H64,$R$26,$R$27)</f>
        <v>7.933281519755948E-7</v>
      </c>
      <c r="M64" s="56">
        <v>41802</v>
      </c>
      <c r="N64" s="57">
        <v>1.5</v>
      </c>
      <c r="O64" s="58">
        <f t="shared" si="0"/>
        <v>0.69314718055994529</v>
      </c>
      <c r="T64" s="85">
        <f>$U$23-$B$38/100</f>
        <v>1.4725619999999999</v>
      </c>
      <c r="U64" s="28">
        <f>$X$23</f>
        <v>8.9779501544207427E-2</v>
      </c>
    </row>
    <row r="65" spans="5:21" ht="15" x14ac:dyDescent="0.2">
      <c r="E65" s="72">
        <v>-4.5999999999999996</v>
      </c>
      <c r="F65" s="73">
        <f t="shared" si="6"/>
        <v>-3.1378493986802054</v>
      </c>
      <c r="G65" s="73">
        <f t="shared" si="7"/>
        <v>1.1078185596909807E-5</v>
      </c>
      <c r="H65" s="73">
        <f t="shared" si="8"/>
        <v>0.12166593173097093</v>
      </c>
      <c r="I65" s="73">
        <f t="shared" si="5"/>
        <v>-0.37833406826902904</v>
      </c>
      <c r="J65" s="73">
        <f t="shared" si="9"/>
        <v>1.5865886434471112E-4</v>
      </c>
      <c r="K65" s="73">
        <f t="shared" si="10"/>
        <v>2.1124547025028533E-6</v>
      </c>
      <c r="M65" s="56">
        <v>41911</v>
      </c>
      <c r="N65" s="57">
        <v>1.5</v>
      </c>
      <c r="O65" s="58">
        <f t="shared" si="0"/>
        <v>0.69314718055994529</v>
      </c>
      <c r="T65" s="85">
        <f>$U$23+$B$38/100</f>
        <v>1.475838</v>
      </c>
      <c r="U65" s="28">
        <f>$X$24</f>
        <v>0.26933850463262227</v>
      </c>
    </row>
    <row r="66" spans="5:21" ht="15" x14ac:dyDescent="0.2">
      <c r="E66" s="72">
        <v>-4.4000000000000004</v>
      </c>
      <c r="F66" s="73">
        <f t="shared" si="6"/>
        <v>-2.9547715475866934</v>
      </c>
      <c r="G66" s="73">
        <f t="shared" si="7"/>
        <v>2.7247939760133388E-5</v>
      </c>
      <c r="H66" s="73">
        <f t="shared" si="8"/>
        <v>0.13514485207523075</v>
      </c>
      <c r="I66" s="73">
        <f t="shared" si="5"/>
        <v>-0.36485514792476925</v>
      </c>
      <c r="J66" s="73">
        <f t="shared" si="9"/>
        <v>3.5131674812418793E-4</v>
      </c>
      <c r="K66" s="73">
        <f t="shared" si="10"/>
        <v>5.4125439077038416E-6</v>
      </c>
      <c r="M66" s="56">
        <v>41970</v>
      </c>
      <c r="N66" s="57">
        <v>1.1000000000000001</v>
      </c>
      <c r="O66" s="58">
        <f t="shared" si="0"/>
        <v>0.47000362924573563</v>
      </c>
      <c r="T66" s="85">
        <f>$U$24-$B$38/100</f>
        <v>1.6363619999999999</v>
      </c>
      <c r="U66" s="28">
        <f>$X$24</f>
        <v>0.26933850463262227</v>
      </c>
    </row>
    <row r="67" spans="5:21" ht="15" x14ac:dyDescent="0.2">
      <c r="E67" s="72">
        <v>-4.2</v>
      </c>
      <c r="F67" s="73">
        <f t="shared" si="6"/>
        <v>-2.7716936964931804</v>
      </c>
      <c r="G67" s="73">
        <f t="shared" si="7"/>
        <v>6.4391260225610592E-5</v>
      </c>
      <c r="H67" s="73">
        <f t="shared" si="8"/>
        <v>0.15011705234643549</v>
      </c>
      <c r="I67" s="73">
        <f t="shared" si="5"/>
        <v>-0.34988294765356454</v>
      </c>
      <c r="J67" s="73">
        <f t="shared" si="9"/>
        <v>7.474146182219341E-4</v>
      </c>
      <c r="K67" s="73">
        <f t="shared" si="10"/>
        <v>1.3345749015906309E-5</v>
      </c>
      <c r="M67" s="56">
        <v>42075</v>
      </c>
      <c r="N67" s="57">
        <v>0.36</v>
      </c>
      <c r="O67" s="58">
        <f t="shared" ref="O67:O130" si="11">IF($N67&gt;0,LN($N67+$B$26))</f>
        <v>-0.15082288973458366</v>
      </c>
      <c r="T67" s="85">
        <f>$U$24+$B$38/100</f>
        <v>1.6396379999999999</v>
      </c>
      <c r="U67" s="28">
        <f>$X$25</f>
        <v>0.35911800617682971</v>
      </c>
    </row>
    <row r="68" spans="5:21" ht="15" x14ac:dyDescent="0.2">
      <c r="E68" s="72">
        <v>-4</v>
      </c>
      <c r="F68" s="73">
        <f t="shared" si="6"/>
        <v>-2.5886158453996675</v>
      </c>
      <c r="G68" s="73">
        <f t="shared" si="7"/>
        <v>1.4620034588075576E-4</v>
      </c>
      <c r="H68" s="73">
        <f t="shared" si="8"/>
        <v>0.16674796752626495</v>
      </c>
      <c r="I68" s="73">
        <f t="shared" si="5"/>
        <v>-0.33325203247373503</v>
      </c>
      <c r="J68" s="73">
        <f t="shared" si="9"/>
        <v>1.5277508779011823E-3</v>
      </c>
      <c r="K68" s="73">
        <f t="shared" si="10"/>
        <v>3.1671241833119857E-5</v>
      </c>
      <c r="M68" s="56">
        <v>42171</v>
      </c>
      <c r="N68" s="57">
        <v>0.95</v>
      </c>
      <c r="O68" s="58">
        <f t="shared" si="11"/>
        <v>0.37156355643248301</v>
      </c>
      <c r="T68" s="85">
        <f>$U$25-$B$38/100</f>
        <v>1.800162</v>
      </c>
      <c r="U68" s="28">
        <f>$X$25</f>
        <v>0.35911800617682971</v>
      </c>
    </row>
    <row r="69" spans="5:21" ht="15" x14ac:dyDescent="0.2">
      <c r="E69" s="72">
        <v>-3.8</v>
      </c>
      <c r="F69" s="73">
        <f t="shared" si="6"/>
        <v>-2.4055379943061546</v>
      </c>
      <c r="G69" s="73">
        <f t="shared" si="7"/>
        <v>3.1893199974511298E-4</v>
      </c>
      <c r="H69" s="73">
        <f t="shared" si="8"/>
        <v>0.18522136052853644</v>
      </c>
      <c r="I69" s="73">
        <f t="shared" si="5"/>
        <v>-0.31477863947146356</v>
      </c>
      <c r="J69" s="73">
        <f t="shared" si="9"/>
        <v>3.0003486008914281E-3</v>
      </c>
      <c r="K69" s="73">
        <f t="shared" si="10"/>
        <v>7.234804392511999E-5</v>
      </c>
      <c r="M69" s="56">
        <v>42261</v>
      </c>
      <c r="N69" s="57">
        <v>1.4</v>
      </c>
      <c r="O69" s="58">
        <f t="shared" si="11"/>
        <v>0.64185388617239469</v>
      </c>
      <c r="T69" s="85">
        <f>$U$25+$B$38/100</f>
        <v>1.8034380000000001</v>
      </c>
      <c r="U69" s="28">
        <f>$X$26</f>
        <v>0.17955900308841485</v>
      </c>
    </row>
    <row r="70" spans="5:21" ht="15" x14ac:dyDescent="0.2">
      <c r="E70" s="72">
        <v>-3.6</v>
      </c>
      <c r="F70" s="73">
        <f t="shared" si="6"/>
        <v>-2.2224601432126425</v>
      </c>
      <c r="G70" s="73">
        <f t="shared" si="7"/>
        <v>6.6846090497448831E-4</v>
      </c>
      <c r="H70" s="73">
        <f t="shared" si="8"/>
        <v>0.20574135268328397</v>
      </c>
      <c r="I70" s="73">
        <f t="shared" si="5"/>
        <v>-0.29425864731671603</v>
      </c>
      <c r="J70" s="73">
        <f t="shared" si="9"/>
        <v>5.6613383677713196E-3</v>
      </c>
      <c r="K70" s="73">
        <f t="shared" si="10"/>
        <v>1.5910859015753364E-4</v>
      </c>
      <c r="M70" s="56">
        <v>42341</v>
      </c>
      <c r="N70" s="57">
        <v>0.84</v>
      </c>
      <c r="O70" s="58">
        <f t="shared" si="11"/>
        <v>0.29266961396281987</v>
      </c>
      <c r="T70" s="85">
        <f>$U$26-$B$38/100</f>
        <v>1.963962</v>
      </c>
      <c r="U70" s="28">
        <f>$X$26</f>
        <v>0.17955900308841485</v>
      </c>
    </row>
    <row r="71" spans="5:21" ht="15" x14ac:dyDescent="0.2">
      <c r="E71" s="72">
        <v>-3.4</v>
      </c>
      <c r="F71" s="73">
        <f t="shared" si="6"/>
        <v>-2.0393822921191296</v>
      </c>
      <c r="G71" s="73">
        <f t="shared" si="7"/>
        <v>1.346114957230542E-3</v>
      </c>
      <c r="H71" s="73">
        <f t="shared" si="8"/>
        <v>0.22853467917068829</v>
      </c>
      <c r="I71" s="73">
        <f t="shared" si="5"/>
        <v>-0.27146532082931174</v>
      </c>
      <c r="J71" s="73">
        <f t="shared" si="9"/>
        <v>1.0263482096465416E-2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1.967238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-1.8563044410256169</v>
      </c>
      <c r="G72" s="73">
        <f t="shared" si="7"/>
        <v>2.6044529004735717E-3</v>
      </c>
      <c r="H72" s="73">
        <f t="shared" si="8"/>
        <v>0.25385319432622183</v>
      </c>
      <c r="I72" s="73">
        <f t="shared" si="5"/>
        <v>-0.24614680567377817</v>
      </c>
      <c r="J72" s="73">
        <f t="shared" si="9"/>
        <v>1.7877161611258404E-2</v>
      </c>
      <c r="K72" s="73">
        <f t="shared" si="10"/>
        <v>6.8713793791584817E-4</v>
      </c>
      <c r="M72" s="56"/>
      <c r="N72" s="57"/>
      <c r="O72" s="58" t="b">
        <f t="shared" si="11"/>
        <v>0</v>
      </c>
      <c r="T72" s="85">
        <f>$U$27-$B$38/100</f>
        <v>2.1277620000000002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-1.6732265899321039</v>
      </c>
      <c r="G73" s="73">
        <f t="shared" si="7"/>
        <v>4.8414905303583592E-3</v>
      </c>
      <c r="H73" s="73">
        <f t="shared" si="8"/>
        <v>0.28197665449932174</v>
      </c>
      <c r="I73" s="73">
        <f t="shared" si="5"/>
        <v>-0.21802334550067826</v>
      </c>
      <c r="J73" s="73">
        <f t="shared" si="9"/>
        <v>2.9917866787491542E-2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2.1310379999999998</v>
      </c>
      <c r="U73" s="28">
        <f>$X$28</f>
        <v>0.17955900308841485</v>
      </c>
    </row>
    <row r="74" spans="5:21" ht="15" x14ac:dyDescent="0.2">
      <c r="E74" s="72">
        <v>-2.8</v>
      </c>
      <c r="F74" s="73">
        <f t="shared" si="6"/>
        <v>-1.4901487388385906</v>
      </c>
      <c r="G74" s="73">
        <f t="shared" si="7"/>
        <v>8.6470881493326043E-3</v>
      </c>
      <c r="H74" s="73">
        <f t="shared" si="8"/>
        <v>0.31321580921472303</v>
      </c>
      <c r="I74" s="73">
        <f t="shared" si="5"/>
        <v>-0.18678419078527697</v>
      </c>
      <c r="J74" s="73">
        <f t="shared" si="9"/>
        <v>4.8105075733054933E-2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2.2915620000000003</v>
      </c>
      <c r="U74" s="28">
        <f>$X$28</f>
        <v>0.17955900308841485</v>
      </c>
    </row>
    <row r="75" spans="5:21" ht="15" x14ac:dyDescent="0.2">
      <c r="E75" s="72">
        <v>-2.6</v>
      </c>
      <c r="F75" s="73">
        <f t="shared" si="6"/>
        <v>-1.3070708877450781</v>
      </c>
      <c r="G75" s="73">
        <f t="shared" si="7"/>
        <v>1.4838462602172104E-2</v>
      </c>
      <c r="H75" s="73">
        <f t="shared" si="8"/>
        <v>0.34791583479216626</v>
      </c>
      <c r="I75" s="73">
        <f t="shared" si="5"/>
        <v>-0.15208416520783374</v>
      </c>
      <c r="J75" s="73">
        <f t="shared" si="9"/>
        <v>7.4315499645531441E-2</v>
      </c>
      <c r="K75" s="73">
        <f t="shared" si="10"/>
        <v>4.6611880237187493E-3</v>
      </c>
      <c r="M75" s="56"/>
      <c r="N75" s="57"/>
      <c r="O75" s="58" t="b">
        <f t="shared" si="11"/>
        <v>0</v>
      </c>
      <c r="T75" s="85">
        <f>$U$28+$B$38/100</f>
        <v>2.2948379999999999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-1.1239930366515651</v>
      </c>
      <c r="G76" s="73">
        <f t="shared" si="7"/>
        <v>2.4464488916689529E-2</v>
      </c>
      <c r="H76" s="73">
        <f t="shared" si="8"/>
        <v>0.38646014836418435</v>
      </c>
      <c r="I76" s="73">
        <f t="shared" si="5"/>
        <v>-0.11353985163581565</v>
      </c>
      <c r="J76" s="73">
        <f t="shared" si="9"/>
        <v>0.11030523446043605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2.455362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-0.94091518555805265</v>
      </c>
      <c r="G77" s="73">
        <f t="shared" si="7"/>
        <v>3.8753560449113697E-2</v>
      </c>
      <c r="H77" s="73">
        <f t="shared" si="8"/>
        <v>0.42927464443486762</v>
      </c>
      <c r="I77" s="73">
        <f t="shared" si="5"/>
        <v>-7.0725355565132375E-2</v>
      </c>
      <c r="J77" s="73">
        <f t="shared" si="9"/>
        <v>0.15730446965353706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2.4586379999999997</v>
      </c>
      <c r="U77" s="28">
        <f>$X$30</f>
        <v>0.17955900308841485</v>
      </c>
    </row>
    <row r="78" spans="5:21" ht="15" x14ac:dyDescent="0.2">
      <c r="E78" s="72">
        <v>-2</v>
      </c>
      <c r="F78" s="73">
        <f t="shared" si="6"/>
        <v>-0.75783733446453971</v>
      </c>
      <c r="G78" s="73">
        <f t="shared" si="7"/>
        <v>5.8981429146893867E-2</v>
      </c>
      <c r="H78" s="73">
        <f t="shared" si="8"/>
        <v>0.47683240079136752</v>
      </c>
      <c r="I78" s="73">
        <f t="shared" si="5"/>
        <v>-2.3167599208632483E-2</v>
      </c>
      <c r="J78" s="73">
        <f t="shared" si="9"/>
        <v>0.21553322355304913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2.6191620000000002</v>
      </c>
      <c r="U78" s="28">
        <f>$X$30</f>
        <v>0.17955900308841485</v>
      </c>
    </row>
    <row r="79" spans="5:21" ht="15" x14ac:dyDescent="0.2">
      <c r="E79" s="72">
        <v>-1.8</v>
      </c>
      <c r="F79" s="73">
        <f t="shared" si="6"/>
        <v>-0.574759483371027</v>
      </c>
      <c r="G79" s="73">
        <f t="shared" si="7"/>
        <v>8.6247634904309492E-2</v>
      </c>
      <c r="H79" s="73">
        <f t="shared" si="8"/>
        <v>0.52965890576599672</v>
      </c>
      <c r="I79" s="73">
        <f t="shared" si="5"/>
        <v>2.9658905765996724E-2</v>
      </c>
      <c r="J79" s="73">
        <f t="shared" si="9"/>
        <v>0.28373676089425709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2.6224379999999998</v>
      </c>
      <c r="U79" s="28">
        <f>$X$31</f>
        <v>0.17955900308841485</v>
      </c>
    </row>
    <row r="80" spans="5:21" ht="15" x14ac:dyDescent="0.2">
      <c r="E80" s="72">
        <v>-1.6</v>
      </c>
      <c r="F80" s="73">
        <f t="shared" si="6"/>
        <v>-0.39168163227751429</v>
      </c>
      <c r="G80" s="73">
        <f t="shared" si="7"/>
        <v>0.12117340685061812</v>
      </c>
      <c r="H80" s="73">
        <f t="shared" si="8"/>
        <v>0.58833786460744186</v>
      </c>
      <c r="I80" s="73">
        <f t="shared" si="5"/>
        <v>8.8337864607441863E-2</v>
      </c>
      <c r="J80" s="73">
        <f t="shared" si="9"/>
        <v>0.35887665600007274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2.7829620000000004</v>
      </c>
      <c r="U80" s="28">
        <f>$X$31</f>
        <v>0.17955900308841485</v>
      </c>
    </row>
    <row r="81" spans="5:21" ht="15" x14ac:dyDescent="0.2">
      <c r="E81" s="72">
        <v>-1.4</v>
      </c>
      <c r="F81" s="73">
        <f t="shared" si="6"/>
        <v>-0.20860378118400114</v>
      </c>
      <c r="G81" s="73">
        <f t="shared" si="7"/>
        <v>0.16356699048129733</v>
      </c>
      <c r="H81" s="73">
        <f t="shared" si="8"/>
        <v>0.65351764911844956</v>
      </c>
      <c r="I81" s="73">
        <f t="shared" si="5"/>
        <v>0.15351764911844956</v>
      </c>
      <c r="J81" s="73">
        <f t="shared" si="9"/>
        <v>0.43611701729733032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2.786238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-2.5525930090488425E-2</v>
      </c>
      <c r="G82" s="73">
        <f t="shared" si="7"/>
        <v>0.21213495114056838</v>
      </c>
      <c r="H82" s="73">
        <f t="shared" si="8"/>
        <v>0.72591846182511155</v>
      </c>
      <c r="I82" s="73">
        <f t="shared" si="5"/>
        <v>0.22591846182511155</v>
      </c>
      <c r="J82" s="73">
        <f t="shared" si="9"/>
        <v>0.50920080032953552</v>
      </c>
      <c r="K82" s="73">
        <f t="shared" si="10"/>
        <v>0.11506967022170821</v>
      </c>
      <c r="L82" s="14"/>
      <c r="M82" s="56"/>
      <c r="N82" s="57"/>
      <c r="O82" s="58" t="b">
        <f t="shared" si="11"/>
        <v>0</v>
      </c>
      <c r="T82" s="85">
        <f>$U$32-$B$38/100</f>
        <v>2.9467620000000001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0.15755192100302429</v>
      </c>
      <c r="G83" s="73">
        <f t="shared" si="7"/>
        <v>0.26433642636055321</v>
      </c>
      <c r="H83" s="73">
        <f t="shared" si="8"/>
        <v>0.80634029383807093</v>
      </c>
      <c r="I83" s="73">
        <f t="shared" si="5"/>
        <v>0.30634029383807093</v>
      </c>
      <c r="J83" s="73">
        <f t="shared" si="9"/>
        <v>0.57121991819456586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2.9500379999999997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0.340629772096537</v>
      </c>
      <c r="G84" s="73">
        <f t="shared" si="7"/>
        <v>0.31646815934442402</v>
      </c>
      <c r="H84" s="73">
        <f t="shared" si="8"/>
        <v>0.89567176433585338</v>
      </c>
      <c r="I84" s="73">
        <f t="shared" si="5"/>
        <v>0.39567176433585338</v>
      </c>
      <c r="J84" s="73">
        <f t="shared" si="9"/>
        <v>0.61566693291805341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3.1105620000000003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0.52370762319004993</v>
      </c>
      <c r="G85" s="73">
        <f t="shared" si="7"/>
        <v>0.36402503186646501</v>
      </c>
      <c r="H85" s="73">
        <f t="shared" si="8"/>
        <v>0.99489993934199183</v>
      </c>
      <c r="I85" s="73">
        <f t="shared" si="5"/>
        <v>0.49489993934199183</v>
      </c>
      <c r="J85" s="73">
        <f t="shared" si="9"/>
        <v>0.63755335444429517</v>
      </c>
      <c r="K85" s="73">
        <f t="shared" si="10"/>
        <v>0.27425311775007361</v>
      </c>
      <c r="M85" s="56"/>
      <c r="N85" s="57"/>
      <c r="O85" s="58" t="b">
        <f t="shared" si="11"/>
        <v>0</v>
      </c>
      <c r="T85" s="85">
        <f>$U$33+$B$38/100</f>
        <v>3.1138379999999999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0.70678547428356264</v>
      </c>
      <c r="G86" s="73">
        <f t="shared" si="7"/>
        <v>0.40230987867037798</v>
      </c>
      <c r="H86" s="73">
        <f t="shared" si="8"/>
        <v>1.1051212382882936</v>
      </c>
      <c r="I86" s="73">
        <f t="shared" si="5"/>
        <v>0.60512123828829356</v>
      </c>
      <c r="J86" s="73">
        <f t="shared" si="9"/>
        <v>0.63433030816271663</v>
      </c>
      <c r="K86" s="73">
        <f t="shared" si="10"/>
        <v>0.34457825838967582</v>
      </c>
      <c r="M86" s="56"/>
      <c r="N86" s="57"/>
      <c r="O86" s="58" t="b">
        <f t="shared" si="11"/>
        <v>0</v>
      </c>
      <c r="T86" s="85">
        <f>$U$34-$B$38/100</f>
        <v>3.274362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0.88986332537707546</v>
      </c>
      <c r="G87" s="73">
        <f t="shared" si="7"/>
        <v>0.42718733220843674</v>
      </c>
      <c r="H87" s="73">
        <f t="shared" si="8"/>
        <v>1.2275535488760723</v>
      </c>
      <c r="I87" s="73">
        <f t="shared" si="5"/>
        <v>0.72755354887607226</v>
      </c>
      <c r="J87" s="73">
        <f t="shared" si="9"/>
        <v>0.60637684688845495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3.2776379999999996</v>
      </c>
      <c r="U87" s="28">
        <f>$X$35</f>
        <v>8.9779501544207427E-2</v>
      </c>
    </row>
    <row r="88" spans="5:21" ht="15" x14ac:dyDescent="0.2">
      <c r="E88" s="72">
        <v>0</v>
      </c>
      <c r="F88" s="73">
        <f t="shared" si="6"/>
        <v>1.0729411764705883</v>
      </c>
      <c r="G88" s="73">
        <f t="shared" si="7"/>
        <v>0.43581708876150216</v>
      </c>
      <c r="H88" s="73">
        <f t="shared" si="8"/>
        <v>1.3635496840982231</v>
      </c>
      <c r="I88" s="73">
        <f t="shared" si="5"/>
        <v>0.86354968409822308</v>
      </c>
      <c r="J88" s="73">
        <f t="shared" si="9"/>
        <v>0.55692662298254836</v>
      </c>
      <c r="K88" s="73">
        <f t="shared" si="10"/>
        <v>0.49999999999999994</v>
      </c>
      <c r="M88" s="56"/>
      <c r="N88" s="57"/>
      <c r="O88" s="58" t="b">
        <f t="shared" si="11"/>
        <v>0</v>
      </c>
      <c r="T88" s="85">
        <f>$U$35-$B$38/100</f>
        <v>3.4381620000000002</v>
      </c>
      <c r="U88" s="28">
        <f>$X$35</f>
        <v>8.9779501544207427E-2</v>
      </c>
    </row>
    <row r="89" spans="5:21" ht="15" x14ac:dyDescent="0.2">
      <c r="E89" s="72">
        <v>0.2</v>
      </c>
      <c r="F89" s="73">
        <f t="shared" si="6"/>
        <v>1.256019027564101</v>
      </c>
      <c r="G89" s="73">
        <f t="shared" si="7"/>
        <v>0.42718733220843685</v>
      </c>
      <c r="H89" s="73">
        <f t="shared" si="8"/>
        <v>1.5146123301151944</v>
      </c>
      <c r="I89" s="73">
        <f t="shared" si="5"/>
        <v>1.0146123301151944</v>
      </c>
      <c r="J89" s="73">
        <f t="shared" si="9"/>
        <v>0.49145252257228961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3.4414379999999998</v>
      </c>
      <c r="U89" s="28">
        <f>$X$36</f>
        <v>0.17955900308841485</v>
      </c>
    </row>
    <row r="90" spans="5:21" ht="15" x14ac:dyDescent="0.2">
      <c r="E90" s="72">
        <v>0.4</v>
      </c>
      <c r="F90" s="73">
        <f t="shared" si="6"/>
        <v>1.4390968786576139</v>
      </c>
      <c r="G90" s="73">
        <f t="shared" si="7"/>
        <v>0.40230987867037798</v>
      </c>
      <c r="H90" s="73">
        <f t="shared" si="8"/>
        <v>1.6824106501510707</v>
      </c>
      <c r="I90" s="73">
        <f t="shared" si="5"/>
        <v>1.1824106501510707</v>
      </c>
      <c r="J90" s="73">
        <f t="shared" si="9"/>
        <v>0.4166710996376714</v>
      </c>
      <c r="K90" s="73">
        <f t="shared" si="10"/>
        <v>0.65542174161032418</v>
      </c>
      <c r="M90" s="56"/>
      <c r="N90" s="57"/>
      <c r="O90" s="58" t="b">
        <f t="shared" si="11"/>
        <v>0</v>
      </c>
      <c r="T90" s="85">
        <f>$U$36-$B$38/100</f>
        <v>3.6019620000000003</v>
      </c>
      <c r="U90" s="28">
        <f>$X$36</f>
        <v>0.17955900308841485</v>
      </c>
    </row>
    <row r="91" spans="5:21" ht="15" x14ac:dyDescent="0.2">
      <c r="E91" s="72">
        <v>0.6</v>
      </c>
      <c r="F91" s="73">
        <f t="shared" si="6"/>
        <v>1.6221747297511266</v>
      </c>
      <c r="G91" s="73">
        <f t="shared" si="7"/>
        <v>0.36402503186646501</v>
      </c>
      <c r="H91" s="73">
        <f t="shared" si="8"/>
        <v>1.8687987278741307</v>
      </c>
      <c r="I91" s="73">
        <f t="shared" si="5"/>
        <v>1.3687987278741307</v>
      </c>
      <c r="J91" s="73">
        <f t="shared" si="9"/>
        <v>0.33941685864987114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3.6052379999999999</v>
      </c>
      <c r="U91" s="28">
        <f>$X$37</f>
        <v>8.9779501544207427E-2</v>
      </c>
    </row>
    <row r="92" spans="5:21" ht="15" x14ac:dyDescent="0.2">
      <c r="E92" s="72">
        <v>0.80000000000001004</v>
      </c>
      <c r="F92" s="73">
        <f t="shared" si="6"/>
        <v>1.8052525808446487</v>
      </c>
      <c r="G92" s="73">
        <f t="shared" si="7"/>
        <v>0.31646815934442152</v>
      </c>
      <c r="H92" s="73">
        <f t="shared" si="8"/>
        <v>2.0758360540516017</v>
      </c>
      <c r="I92" s="73">
        <f t="shared" si="5"/>
        <v>1.5758360540516017</v>
      </c>
      <c r="J92" s="73">
        <f t="shared" si="9"/>
        <v>0.26564500938003482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3.7657620000000001</v>
      </c>
      <c r="U92" s="28">
        <f>$X$37</f>
        <v>8.9779501544207427E-2</v>
      </c>
    </row>
    <row r="93" spans="5:21" ht="15" x14ac:dyDescent="0.2">
      <c r="E93" s="72">
        <v>1.00000000000001</v>
      </c>
      <c r="F93" s="73">
        <f t="shared" si="6"/>
        <v>1.9883304319381614</v>
      </c>
      <c r="G93" s="73">
        <f t="shared" si="7"/>
        <v>0.26433642636055055</v>
      </c>
      <c r="H93" s="73">
        <f t="shared" si="8"/>
        <v>2.305810282845361</v>
      </c>
      <c r="I93" s="73">
        <f t="shared" si="5"/>
        <v>1.805810282845361</v>
      </c>
      <c r="J93" s="73">
        <f t="shared" si="9"/>
        <v>0.1997552184192643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3.7690379999999997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2.1714082830316741</v>
      </c>
      <c r="G94" s="73">
        <f t="shared" si="7"/>
        <v>0.21213495114056585</v>
      </c>
      <c r="H94" s="73">
        <f t="shared" si="8"/>
        <v>2.561262509193917</v>
      </c>
      <c r="I94" s="73">
        <f t="shared" si="5"/>
        <v>2.061262509193917</v>
      </c>
      <c r="J94" s="73">
        <f t="shared" si="9"/>
        <v>0.14431877263984966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3.9295620000000002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2.354486134125187</v>
      </c>
      <c r="G95" s="73">
        <f t="shared" si="7"/>
        <v>0.16356699048129503</v>
      </c>
      <c r="H95" s="73">
        <f t="shared" si="8"/>
        <v>2.8450153465822972</v>
      </c>
      <c r="I95" s="73">
        <f t="shared" si="5"/>
        <v>2.3450153465822972</v>
      </c>
      <c r="J95" s="73">
        <f t="shared" si="9"/>
        <v>0.10017878048604513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3.9328379999999998</v>
      </c>
      <c r="U95" s="28">
        <f>$X$39</f>
        <v>8.9779501544207427E-2</v>
      </c>
    </row>
    <row r="96" spans="5:21" ht="15" x14ac:dyDescent="0.2">
      <c r="E96" s="72">
        <v>1.6000000000000101</v>
      </c>
      <c r="F96" s="73">
        <f t="shared" si="6"/>
        <v>2.5375639852187</v>
      </c>
      <c r="G96" s="73">
        <f t="shared" si="7"/>
        <v>0.12117340685061619</v>
      </c>
      <c r="H96" s="73">
        <f t="shared" si="8"/>
        <v>3.160204115444682</v>
      </c>
      <c r="I96" s="73">
        <f t="shared" si="5"/>
        <v>2.660204115444682</v>
      </c>
      <c r="J96" s="73">
        <f t="shared" si="9"/>
        <v>6.6812369624051501E-2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4.0933619999999999</v>
      </c>
      <c r="U96" s="28">
        <f>$X$39</f>
        <v>8.9779501544207427E-2</v>
      </c>
    </row>
    <row r="97" spans="5:21" ht="15" x14ac:dyDescent="0.2">
      <c r="E97" s="72">
        <v>1.80000000000001</v>
      </c>
      <c r="F97" s="73">
        <f t="shared" si="6"/>
        <v>2.7206418363122129</v>
      </c>
      <c r="G97" s="73">
        <f t="shared" si="7"/>
        <v>8.624763490430791E-2</v>
      </c>
      <c r="H97" s="73">
        <f t="shared" si="8"/>
        <v>3.5103114868152487</v>
      </c>
      <c r="I97" s="73">
        <f t="shared" si="5"/>
        <v>3.0103114868152487</v>
      </c>
      <c r="J97" s="73">
        <f t="shared" si="9"/>
        <v>4.2812070343416622E-2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4.0966379999999996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2.9037196874057258</v>
      </c>
      <c r="G98" s="73">
        <f t="shared" si="7"/>
        <v>5.898142914689266E-2</v>
      </c>
      <c r="H98" s="73">
        <f t="shared" si="8"/>
        <v>3.899205964021466</v>
      </c>
      <c r="I98" s="73">
        <f t="shared" si="5"/>
        <v>3.399205964021466</v>
      </c>
      <c r="J98" s="73">
        <f t="shared" si="9"/>
        <v>2.6357475184795091E-2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3.0867975384992379</v>
      </c>
      <c r="G99" s="73">
        <f t="shared" si="7"/>
        <v>3.8753560449112906E-2</v>
      </c>
      <c r="H99" s="73">
        <f t="shared" si="8"/>
        <v>4.3311846276224077</v>
      </c>
      <c r="I99" s="73">
        <f t="shared" si="5"/>
        <v>3.8311846276224077</v>
      </c>
      <c r="J99" s="73">
        <f t="shared" si="9"/>
        <v>1.5590843172068779E-2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3.2698753895927508</v>
      </c>
      <c r="G100" s="73">
        <f t="shared" si="7"/>
        <v>2.4464488916688953E-2</v>
      </c>
      <c r="H100" s="73">
        <f t="shared" si="8"/>
        <v>4.811020615901322</v>
      </c>
      <c r="I100" s="73">
        <f t="shared" si="5"/>
        <v>4.311020615901322</v>
      </c>
      <c r="J100" s="73">
        <f t="shared" si="9"/>
        <v>8.8606099782715057E-3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3.4529532406862637</v>
      </c>
      <c r="G101" s="73">
        <f t="shared" si="7"/>
        <v>1.4838462602171728E-2</v>
      </c>
      <c r="H101" s="73">
        <f t="shared" si="8"/>
        <v>5.3440158655470231</v>
      </c>
      <c r="I101" s="73">
        <f t="shared" si="5"/>
        <v>4.8440158655470231</v>
      </c>
      <c r="J101" s="73">
        <f t="shared" si="9"/>
        <v>4.8382227425375927E-3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3.6360310917797767</v>
      </c>
      <c r="G102" s="73">
        <f t="shared" si="7"/>
        <v>8.6470881493323649E-3</v>
      </c>
      <c r="H102" s="73">
        <f t="shared" si="8"/>
        <v>5.9360596952811058</v>
      </c>
      <c r="I102" s="73">
        <f t="shared" si="5"/>
        <v>5.4360596952811058</v>
      </c>
      <c r="J102" s="73">
        <f t="shared" si="9"/>
        <v>2.5382612366654095E-3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3.8191089428732896</v>
      </c>
      <c r="G103" s="73">
        <f t="shared" si="7"/>
        <v>4.8414905303582256E-3</v>
      </c>
      <c r="H103" s="73">
        <f t="shared" si="8"/>
        <v>6.5936938797493454</v>
      </c>
      <c r="I103" s="73">
        <f t="shared" si="5"/>
        <v>6.0936938797493454</v>
      </c>
      <c r="J103" s="73">
        <f t="shared" si="9"/>
        <v>1.2794254844620838E-3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4.0021867939668025</v>
      </c>
      <c r="G104" s="73">
        <f t="shared" si="7"/>
        <v>2.6044529004734911E-3</v>
      </c>
      <c r="H104" s="73">
        <f t="shared" si="8"/>
        <v>7.3241849327098265</v>
      </c>
      <c r="I104" s="73">
        <f t="shared" si="5"/>
        <v>6.8241849327098265</v>
      </c>
      <c r="J104" s="73">
        <f t="shared" si="9"/>
        <v>6.1961496360317316E-4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4.1852646450603155</v>
      </c>
      <c r="G105" s="73">
        <f t="shared" si="7"/>
        <v>1.3461149572304978E-3</v>
      </c>
      <c r="H105" s="73">
        <f t="shared" si="8"/>
        <v>8.1356043982091713</v>
      </c>
      <c r="I105" s="73">
        <f t="shared" si="5"/>
        <v>7.6356043982091713</v>
      </c>
      <c r="J105" s="73">
        <f t="shared" si="9"/>
        <v>2.8830821574928788E-4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4.3683424961538275</v>
      </c>
      <c r="G106" s="73">
        <f t="shared" si="7"/>
        <v>6.6846090497446684E-4</v>
      </c>
      <c r="H106" s="73">
        <f t="shared" si="8"/>
        <v>9.0369180369223603</v>
      </c>
      <c r="I106" s="73">
        <f t="shared" si="5"/>
        <v>8.5369180369223603</v>
      </c>
      <c r="J106" s="73">
        <f t="shared" si="9"/>
        <v>1.2889033728358146E-4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4.5514203472473405</v>
      </c>
      <c r="G107" s="73">
        <f t="shared" si="7"/>
        <v>3.1893199974510132E-4</v>
      </c>
      <c r="H107" s="73">
        <f t="shared" si="8"/>
        <v>10.03808489311859</v>
      </c>
      <c r="I107" s="73">
        <f t="shared" si="5"/>
        <v>9.5380848931185902</v>
      </c>
      <c r="J107" s="73">
        <f t="shared" si="9"/>
        <v>5.5362019332786134E-5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4.7344981983408534</v>
      </c>
      <c r="G108" s="73">
        <f t="shared" si="7"/>
        <v>1.4620034588075007E-4</v>
      </c>
      <c r="H108" s="73">
        <f t="shared" si="8"/>
        <v>11.150167336891318</v>
      </c>
      <c r="I108" s="73">
        <f t="shared" si="5"/>
        <v>10.650167336891318</v>
      </c>
      <c r="J108" s="73">
        <f t="shared" si="9"/>
        <v>2.2847132789982247E-5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4.9175760494343663</v>
      </c>
      <c r="G109" s="73">
        <f t="shared" si="7"/>
        <v>6.4391260225607963E-5</v>
      </c>
      <c r="H109" s="73">
        <f t="shared" si="8"/>
        <v>12.385453297561506</v>
      </c>
      <c r="I109" s="73">
        <f t="shared" si="5"/>
        <v>11.885453297561506</v>
      </c>
      <c r="J109" s="73">
        <f t="shared" si="9"/>
        <v>9.0589885305367958E-6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5.1006539005278793</v>
      </c>
      <c r="G110" s="73">
        <f t="shared" si="7"/>
        <v>2.7247939760132219E-5</v>
      </c>
      <c r="H110" s="73">
        <f t="shared" si="8"/>
        <v>13.757592038869365</v>
      </c>
      <c r="I110" s="73">
        <f t="shared" si="5"/>
        <v>13.257592038869365</v>
      </c>
      <c r="J110" s="73">
        <f t="shared" si="9"/>
        <v>3.4510872122571284E-6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5.2837317516213922</v>
      </c>
      <c r="G111" s="73">
        <f t="shared" si="7"/>
        <v>1.1078185596909257E-5</v>
      </c>
      <c r="H111" s="73">
        <f t="shared" si="8"/>
        <v>15.281744976199313</v>
      </c>
      <c r="I111" s="73">
        <f t="shared" si="5"/>
        <v>14.781744976199313</v>
      </c>
      <c r="J111" s="73">
        <f t="shared" si="9"/>
        <v>1.2631658614863875E-6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5.4668096027149042</v>
      </c>
      <c r="G112" s="73">
        <f t="shared" si="7"/>
        <v>4.3274476594206184E-6</v>
      </c>
      <c r="H112" s="73">
        <f t="shared" si="8"/>
        <v>16.974753202289683</v>
      </c>
      <c r="I112" s="73">
        <f t="shared" si="5"/>
        <v>16.474753202289683</v>
      </c>
      <c r="J112" s="73">
        <f t="shared" si="9"/>
        <v>4.4421482252549718E-7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5.6498874538084083</v>
      </c>
      <c r="G113" s="73">
        <f t="shared" si="7"/>
        <v>1.6241391362791437E-6</v>
      </c>
      <c r="H113" s="73">
        <f t="shared" si="8"/>
        <v>18.85532357249857</v>
      </c>
      <c r="I113" s="73">
        <f t="shared" si="5"/>
        <v>18.35532357249857</v>
      </c>
      <c r="J113" s="73">
        <f t="shared" si="9"/>
        <v>1.5009075173603477E-7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-0.26127634437202774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6.0406546405370252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-1.2751093361688259E-4</v>
      </c>
      <c r="H120" s="69" t="s">
        <v>50</v>
      </c>
      <c r="I120" s="79">
        <f>IF($B$9&gt;3,INDEX(XX!$C$4:$C$150,$B$9))</f>
        <v>0.23350000000000001</v>
      </c>
      <c r="J120" s="79">
        <f>IF($B$9&gt;3,INDEX(XX!$D$4:$D$150,$B$9))</f>
        <v>0.30380000000000001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0.1</v>
      </c>
      <c r="H122" s="11"/>
      <c r="I122" s="79">
        <f>IF((ABS($G$118)&gt;$I$120)*AND(ABS($G$118)&lt;$J$120),G$119+G$120*G122,0)</f>
        <v>6.0406418894436635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42341</v>
      </c>
      <c r="H123" s="11"/>
      <c r="I123" s="79">
        <f>IF((ABS($G$118)&gt;$I$120)*AND(ABS($G$118)&lt;$J$120),G$119+G$120*G123,0)</f>
        <v>0.64171420026459902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N44" sqref="N44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140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35878</v>
      </c>
      <c r="N3" s="57">
        <v>1</v>
      </c>
      <c r="O3" s="58">
        <f t="shared" ref="O3:O66" si="0">IF($N3&gt;0,LN($N3+$B$26))</f>
        <v>-0.69314718055994529</v>
      </c>
      <c r="T3" s="69" t="s">
        <v>109</v>
      </c>
      <c r="U3" s="82">
        <f>$B$21</f>
        <v>12.565718801205108</v>
      </c>
      <c r="V3" s="82">
        <f t="shared" ref="V3:V10" si="1">U3</f>
        <v>12.565718801205108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35977</v>
      </c>
      <c r="N4" s="57">
        <v>1</v>
      </c>
      <c r="O4" s="58">
        <f t="shared" si="0"/>
        <v>-0.69314718055994529</v>
      </c>
      <c r="T4" s="69" t="s">
        <v>111</v>
      </c>
      <c r="U4" s="82">
        <f>$B$31</f>
        <v>17.430522819654087</v>
      </c>
      <c r="V4" s="82">
        <f t="shared" si="1"/>
        <v>17.430522819654087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36067</v>
      </c>
      <c r="N5" s="57">
        <v>3</v>
      </c>
      <c r="O5" s="58">
        <f t="shared" si="0"/>
        <v>0.91629073187415511</v>
      </c>
      <c r="T5" s="69" t="s">
        <v>110</v>
      </c>
      <c r="U5" s="82">
        <f>$B$22</f>
        <v>14.01959483175045</v>
      </c>
      <c r="V5" s="82">
        <f t="shared" si="1"/>
        <v>14.01959483175045</v>
      </c>
    </row>
    <row r="6" spans="1:24" ht="15" customHeight="1" x14ac:dyDescent="0.25">
      <c r="A6" s="107" t="s">
        <v>18</v>
      </c>
      <c r="B6" s="116">
        <v>7</v>
      </c>
      <c r="C6" s="18"/>
      <c r="M6" s="56">
        <v>36130</v>
      </c>
      <c r="N6" s="57">
        <v>1</v>
      </c>
      <c r="O6" s="58">
        <f t="shared" si="0"/>
        <v>-0.69314718055994529</v>
      </c>
      <c r="T6" s="69" t="s">
        <v>29</v>
      </c>
      <c r="U6" s="82">
        <f>$B$32</f>
        <v>28.070310349946073</v>
      </c>
      <c r="V6" s="82">
        <f t="shared" si="1"/>
        <v>28.070310349946073</v>
      </c>
    </row>
    <row r="7" spans="1:24" ht="15" customHeight="1" x14ac:dyDescent="0.2">
      <c r="D7" s="4"/>
      <c r="F7" s="5"/>
      <c r="M7" s="56">
        <v>36241</v>
      </c>
      <c r="N7" s="57">
        <v>3</v>
      </c>
      <c r="O7" s="58">
        <f t="shared" si="0"/>
        <v>0.91629073187415511</v>
      </c>
      <c r="T7" s="69" t="s">
        <v>31</v>
      </c>
      <c r="U7" s="82">
        <f>$C$21</f>
        <v>-2.9892482129698124</v>
      </c>
      <c r="V7" s="82">
        <f t="shared" si="1"/>
        <v>-2.9892482129698124</v>
      </c>
    </row>
    <row r="8" spans="1:24" ht="15" customHeight="1" x14ac:dyDescent="0.25">
      <c r="A8" s="140" t="s">
        <v>12</v>
      </c>
      <c r="B8" s="140"/>
      <c r="C8" s="140"/>
      <c r="D8" s="4"/>
      <c r="M8" s="56">
        <v>36305</v>
      </c>
      <c r="N8" s="57">
        <v>1</v>
      </c>
      <c r="O8" s="58">
        <f t="shared" si="0"/>
        <v>-0.69314718055994529</v>
      </c>
      <c r="T8" s="69" t="s">
        <v>32</v>
      </c>
      <c r="U8" s="82">
        <f>$C$31</f>
        <v>-1.4697484008542943</v>
      </c>
      <c r="V8" s="82">
        <f t="shared" si="1"/>
        <v>-1.4697484008542943</v>
      </c>
    </row>
    <row r="9" spans="1:24" ht="15" customHeight="1" x14ac:dyDescent="0.2">
      <c r="A9" s="101" t="s">
        <v>11</v>
      </c>
      <c r="B9" s="59">
        <f>COUNT($M$3:$M252)</f>
        <v>68</v>
      </c>
      <c r="C9" s="60"/>
      <c r="D9" s="4"/>
      <c r="M9" s="56">
        <v>36384</v>
      </c>
      <c r="N9" s="57">
        <v>1</v>
      </c>
      <c r="O9" s="58">
        <f t="shared" si="0"/>
        <v>-0.69314718055994529</v>
      </c>
      <c r="T9" s="69" t="s">
        <v>112</v>
      </c>
      <c r="U9" s="82">
        <f>$C$22</f>
        <v>-4.4431242435151539</v>
      </c>
      <c r="V9" s="82">
        <f t="shared" si="1"/>
        <v>-4.4431242435151539</v>
      </c>
    </row>
    <row r="10" spans="1:24" ht="15" customHeight="1" x14ac:dyDescent="0.2">
      <c r="A10" s="102" t="s">
        <v>7</v>
      </c>
      <c r="B10" s="61">
        <f>MIN($N$3:$N$252)</f>
        <v>1</v>
      </c>
      <c r="C10" s="60"/>
      <c r="D10" s="4"/>
      <c r="M10" s="56">
        <v>36474</v>
      </c>
      <c r="N10" s="57">
        <v>1</v>
      </c>
      <c r="O10" s="58">
        <f t="shared" si="0"/>
        <v>-0.69314718055994529</v>
      </c>
      <c r="T10" s="69" t="s">
        <v>113</v>
      </c>
      <c r="U10" s="82">
        <f>$C$32</f>
        <v>-1.9066735355828559</v>
      </c>
      <c r="V10" s="82">
        <f t="shared" si="1"/>
        <v>-1.9066735355828559</v>
      </c>
    </row>
    <row r="11" spans="1:24" ht="15" customHeight="1" x14ac:dyDescent="0.2">
      <c r="A11" s="102" t="s">
        <v>8</v>
      </c>
      <c r="B11" s="61">
        <f>MAX($N$3:$N$252)</f>
        <v>12</v>
      </c>
      <c r="C11" s="60"/>
      <c r="D11" s="4"/>
      <c r="M11" s="56">
        <v>36585</v>
      </c>
      <c r="N11" s="57">
        <v>10</v>
      </c>
      <c r="O11" s="58">
        <f t="shared" si="0"/>
        <v>2.2512917986064953</v>
      </c>
      <c r="T11" s="69" t="s">
        <v>68</v>
      </c>
      <c r="U11" s="82">
        <f>$B$12</f>
        <v>3</v>
      </c>
      <c r="V11" s="82">
        <f>U11</f>
        <v>3</v>
      </c>
    </row>
    <row r="12" spans="1:24" ht="15" customHeight="1" x14ac:dyDescent="0.2">
      <c r="A12" s="102" t="s">
        <v>68</v>
      </c>
      <c r="B12" s="62">
        <f>MEDIAN($N$3:$N$252)</f>
        <v>3</v>
      </c>
      <c r="C12" s="50"/>
      <c r="D12" s="4"/>
      <c r="M12" s="56">
        <v>36692</v>
      </c>
      <c r="N12" s="57">
        <v>10</v>
      </c>
      <c r="O12" s="58">
        <f t="shared" si="0"/>
        <v>2.2512917986064953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95%</v>
      </c>
      <c r="C13" s="50"/>
      <c r="M13" s="56">
        <v>36781</v>
      </c>
      <c r="N13" s="57">
        <v>10</v>
      </c>
      <c r="O13" s="58">
        <f t="shared" si="0"/>
        <v>2.2512917986064953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36857</v>
      </c>
      <c r="N14" s="57">
        <v>10</v>
      </c>
      <c r="O14" s="58">
        <f t="shared" si="0"/>
        <v>2.2512917986064953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36979</v>
      </c>
      <c r="N15" s="57">
        <v>10</v>
      </c>
      <c r="O15" s="58">
        <f t="shared" si="0"/>
        <v>2.2512917986064953</v>
      </c>
      <c r="T15" s="69">
        <v>1</v>
      </c>
      <c r="U15" s="77">
        <f t="shared" ref="U15:U39" si="3">$B$36+T15*$B$38</f>
        <v>0.504</v>
      </c>
      <c r="V15" s="84">
        <f>FREQUENCY($N$3:$N$252,$U$15:$U$39)</f>
        <v>0</v>
      </c>
      <c r="W15" s="79">
        <f t="shared" ref="W15:W39" si="4">(U15+U14)/2</f>
        <v>0.252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4.7882352941176478</v>
      </c>
      <c r="C16" s="60"/>
      <c r="M16" s="56">
        <v>37053</v>
      </c>
      <c r="N16" s="57">
        <v>10</v>
      </c>
      <c r="O16" s="58">
        <f t="shared" si="0"/>
        <v>2.2512917986064953</v>
      </c>
      <c r="T16" s="69">
        <v>2</v>
      </c>
      <c r="U16" s="77">
        <f t="shared" si="3"/>
        <v>1.008</v>
      </c>
      <c r="V16" s="84">
        <f t="array" ref="V16:V40">FREQUENCY($N$3:$N$252,$U$15:$U$39)</f>
        <v>0</v>
      </c>
      <c r="W16" s="79">
        <f t="shared" si="4"/>
        <v>0.75600000000000001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3.9681767463255748</v>
      </c>
      <c r="C17" s="60"/>
      <c r="D17" s="4"/>
      <c r="M17" s="56">
        <v>37145</v>
      </c>
      <c r="N17" s="57">
        <v>10</v>
      </c>
      <c r="O17" s="58">
        <f t="shared" si="0"/>
        <v>2.2512917986064953</v>
      </c>
      <c r="T17" s="69">
        <v>3</v>
      </c>
      <c r="U17" s="77">
        <f t="shared" si="3"/>
        <v>1.512</v>
      </c>
      <c r="V17" s="84">
        <v>18</v>
      </c>
      <c r="W17" s="79">
        <f t="shared" si="4"/>
        <v>1.26</v>
      </c>
      <c r="X17" s="80">
        <f t="shared" si="2"/>
        <v>0.52521008403361347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0.47229142135687319</v>
      </c>
      <c r="C18" s="114" t="s">
        <v>45</v>
      </c>
      <c r="D18" s="4"/>
      <c r="J18" s="6"/>
      <c r="M18" s="56">
        <v>37224</v>
      </c>
      <c r="N18" s="57">
        <v>10</v>
      </c>
      <c r="O18" s="58">
        <f t="shared" si="0"/>
        <v>2.2512917986064953</v>
      </c>
      <c r="T18" s="69">
        <v>4</v>
      </c>
      <c r="U18" s="77">
        <f t="shared" si="3"/>
        <v>2.016</v>
      </c>
      <c r="V18" s="84">
        <v>3</v>
      </c>
      <c r="W18" s="79">
        <f t="shared" si="4"/>
        <v>1.764</v>
      </c>
      <c r="X18" s="80">
        <f t="shared" si="2"/>
        <v>8.7535014005602249E-2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37306</v>
      </c>
      <c r="N19" s="57">
        <v>10</v>
      </c>
      <c r="O19" s="58">
        <f t="shared" si="0"/>
        <v>2.2512917986064953</v>
      </c>
      <c r="T19" s="69">
        <v>5</v>
      </c>
      <c r="U19" s="77">
        <f t="shared" si="3"/>
        <v>2.52</v>
      </c>
      <c r="V19" s="84">
        <v>6</v>
      </c>
      <c r="W19" s="79">
        <f t="shared" si="4"/>
        <v>2.2679999999999998</v>
      </c>
      <c r="X19" s="80">
        <f t="shared" si="2"/>
        <v>0.1750700280112045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37418</v>
      </c>
      <c r="N20" s="57">
        <v>10</v>
      </c>
      <c r="O20" s="58">
        <f t="shared" si="0"/>
        <v>2.2512917986064953</v>
      </c>
      <c r="T20" s="69">
        <v>6</v>
      </c>
      <c r="U20" s="77">
        <f t="shared" si="3"/>
        <v>3.024</v>
      </c>
      <c r="V20" s="84">
        <v>3</v>
      </c>
      <c r="W20" s="79">
        <f t="shared" si="4"/>
        <v>2.7720000000000002</v>
      </c>
      <c r="X20" s="80">
        <f t="shared" si="2"/>
        <v>8.7535014005602249E-2</v>
      </c>
    </row>
    <row r="21" spans="1:24" ht="15" customHeight="1" x14ac:dyDescent="0.2">
      <c r="A21" s="103" t="s">
        <v>76</v>
      </c>
      <c r="B21" s="62">
        <f>NORMINV(0.975,$B$16,$B$17)</f>
        <v>12.565718801205108</v>
      </c>
      <c r="C21" s="62">
        <f>NORMINV(0.025,$B$16,$B$17)</f>
        <v>-2.9892482129698124</v>
      </c>
      <c r="D21" s="4"/>
      <c r="M21" s="56">
        <v>37494</v>
      </c>
      <c r="N21" s="57">
        <v>12</v>
      </c>
      <c r="O21" s="58">
        <f t="shared" si="0"/>
        <v>2.4423470353692043</v>
      </c>
      <c r="T21" s="69">
        <v>7</v>
      </c>
      <c r="U21" s="77">
        <f t="shared" si="3"/>
        <v>3.528</v>
      </c>
      <c r="V21" s="84">
        <v>7</v>
      </c>
      <c r="W21" s="79">
        <f t="shared" si="4"/>
        <v>3.2759999999999998</v>
      </c>
      <c r="X21" s="80">
        <f t="shared" si="2"/>
        <v>0.20424836601307189</v>
      </c>
    </row>
    <row r="22" spans="1:24" ht="15" customHeight="1" x14ac:dyDescent="0.2">
      <c r="A22" s="104" t="s">
        <v>77</v>
      </c>
      <c r="B22" s="62">
        <f>NORMINV(0.99,$B$16,$B$17)</f>
        <v>14.01959483175045</v>
      </c>
      <c r="C22" s="62">
        <f>NORMINV(0.01,B16,B17)</f>
        <v>-4.4431242435151539</v>
      </c>
      <c r="M22" s="56">
        <v>37557</v>
      </c>
      <c r="N22" s="57">
        <v>10</v>
      </c>
      <c r="O22" s="58">
        <f t="shared" si="0"/>
        <v>2.2512917986064953</v>
      </c>
      <c r="T22" s="69">
        <v>8</v>
      </c>
      <c r="U22" s="77">
        <f t="shared" si="3"/>
        <v>4.032</v>
      </c>
      <c r="V22" s="84">
        <v>1</v>
      </c>
      <c r="W22" s="79">
        <f t="shared" si="4"/>
        <v>3.7800000000000002</v>
      </c>
      <c r="X22" s="80">
        <f t="shared" si="2"/>
        <v>2.9178338001867414E-2</v>
      </c>
    </row>
    <row r="23" spans="1:24" ht="15" customHeight="1" x14ac:dyDescent="0.25">
      <c r="A23" s="112" t="s">
        <v>81</v>
      </c>
      <c r="B23" s="96">
        <f>MAX($B$22+0.5*$B$6,$B$6)</f>
        <v>17.51959483175045</v>
      </c>
      <c r="E23" s="144" t="s">
        <v>80</v>
      </c>
      <c r="F23" s="144"/>
      <c r="G23" s="144"/>
      <c r="M23" s="56">
        <v>37663</v>
      </c>
      <c r="N23" s="57">
        <v>10</v>
      </c>
      <c r="O23" s="58">
        <f t="shared" si="0"/>
        <v>2.2512917986064953</v>
      </c>
      <c r="T23" s="69">
        <v>9</v>
      </c>
      <c r="U23" s="77">
        <f t="shared" si="3"/>
        <v>4.5359999999999996</v>
      </c>
      <c r="V23" s="84">
        <v>3</v>
      </c>
      <c r="W23" s="79">
        <f t="shared" si="4"/>
        <v>4.2839999999999998</v>
      </c>
      <c r="X23" s="80">
        <f t="shared" si="2"/>
        <v>8.7535014005602249E-2</v>
      </c>
    </row>
    <row r="24" spans="1:24" ht="15" customHeight="1" x14ac:dyDescent="0.2">
      <c r="M24" s="56">
        <v>37774</v>
      </c>
      <c r="N24" s="57">
        <v>10</v>
      </c>
      <c r="O24" s="58">
        <f t="shared" si="0"/>
        <v>2.2512917986064953</v>
      </c>
      <c r="T24" s="69">
        <v>10</v>
      </c>
      <c r="U24" s="77">
        <f t="shared" si="3"/>
        <v>5.04</v>
      </c>
      <c r="V24" s="84">
        <v>2</v>
      </c>
      <c r="W24" s="79">
        <f t="shared" si="4"/>
        <v>4.7880000000000003</v>
      </c>
      <c r="X24" s="80">
        <f t="shared" si="2"/>
        <v>5.8356676003734828E-2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37868</v>
      </c>
      <c r="N25" s="57">
        <v>10</v>
      </c>
      <c r="O25" s="58">
        <f t="shared" si="0"/>
        <v>2.2512917986064953</v>
      </c>
      <c r="Q25" s="75" t="s">
        <v>68</v>
      </c>
      <c r="R25" s="75">
        <f>MEDIAN($O$3:$O$252)</f>
        <v>0.91629073187415511</v>
      </c>
      <c r="T25" s="69">
        <v>11</v>
      </c>
      <c r="U25" s="77">
        <f t="shared" si="3"/>
        <v>5.5440000000000005</v>
      </c>
      <c r="V25" s="84">
        <v>1</v>
      </c>
      <c r="W25" s="79">
        <f t="shared" si="4"/>
        <v>5.2919999999999998</v>
      </c>
      <c r="X25" s="80">
        <f t="shared" si="2"/>
        <v>2.9178338001867414E-2</v>
      </c>
    </row>
    <row r="26" spans="1:24" ht="15" customHeight="1" x14ac:dyDescent="0.2">
      <c r="A26" s="86" t="s">
        <v>36</v>
      </c>
      <c r="B26" s="134">
        <v>-0.5</v>
      </c>
      <c r="C26" s="62"/>
      <c r="E26" s="7" t="e">
        <f>AVERAGE(C50:C199)</f>
        <v>#DIV/0!</v>
      </c>
      <c r="M26" s="56">
        <v>37952</v>
      </c>
      <c r="N26" s="57">
        <v>10</v>
      </c>
      <c r="O26" s="58">
        <f t="shared" si="0"/>
        <v>2.2512917986064953</v>
      </c>
      <c r="Q26" s="75" t="s">
        <v>73</v>
      </c>
      <c r="R26" s="75">
        <f>AVERAGE($O$3:$O$252)</f>
        <v>0.86757469808194443</v>
      </c>
      <c r="T26" s="69">
        <v>12</v>
      </c>
      <c r="U26" s="77">
        <f t="shared" si="3"/>
        <v>6.048</v>
      </c>
      <c r="V26" s="84">
        <v>0</v>
      </c>
      <c r="W26" s="79">
        <f t="shared" si="4"/>
        <v>5.7960000000000003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2.3811288883927277</v>
      </c>
      <c r="C27" s="62"/>
      <c r="E27" s="7" t="e">
        <f>STDEV(C50:C199)</f>
        <v>#DIV/0!</v>
      </c>
      <c r="F27" s="7" t="e">
        <f>NORMINV(0.025,$E26,$E27)</f>
        <v>#DIV/0!</v>
      </c>
      <c r="M27" s="56">
        <v>38034</v>
      </c>
      <c r="N27" s="57">
        <v>10</v>
      </c>
      <c r="O27" s="58">
        <f t="shared" si="0"/>
        <v>2.2512917986064953</v>
      </c>
      <c r="Q27" s="75" t="s">
        <v>104</v>
      </c>
      <c r="R27" s="75">
        <f>STDEV($O$3:$O$252)</f>
        <v>1.1925336982581034</v>
      </c>
      <c r="T27" s="69">
        <v>13</v>
      </c>
      <c r="U27" s="77">
        <f t="shared" si="3"/>
        <v>6.5519999999999996</v>
      </c>
      <c r="V27" s="84">
        <v>2</v>
      </c>
      <c r="W27" s="79">
        <f t="shared" si="4"/>
        <v>6.3</v>
      </c>
      <c r="X27" s="80">
        <f t="shared" si="2"/>
        <v>5.8356676003734828E-2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-4.2813197643451935E-2</v>
      </c>
      <c r="C28" s="115" t="s">
        <v>45</v>
      </c>
      <c r="F28" s="7" t="e">
        <f>NORMINV(0.01,$E$26,$E$27)</f>
        <v>#DIV/0!</v>
      </c>
      <c r="M28" s="56">
        <v>38154</v>
      </c>
      <c r="N28" s="57">
        <v>10</v>
      </c>
      <c r="O28" s="58">
        <f t="shared" si="0"/>
        <v>2.2512917986064953</v>
      </c>
      <c r="Q28" s="75" t="s">
        <v>108</v>
      </c>
      <c r="R28" s="75">
        <f>NORMINV(0.025,$R$26,$R$27)</f>
        <v>-1.4697484008542943</v>
      </c>
      <c r="T28" s="69">
        <v>14</v>
      </c>
      <c r="U28" s="77">
        <f t="shared" si="3"/>
        <v>7.056</v>
      </c>
      <c r="V28" s="84">
        <v>0</v>
      </c>
      <c r="W28" s="79">
        <f t="shared" si="4"/>
        <v>6.8040000000000003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38222</v>
      </c>
      <c r="N29" s="57">
        <v>10</v>
      </c>
      <c r="O29" s="58">
        <f t="shared" si="0"/>
        <v>2.2512917986064953</v>
      </c>
      <c r="Q29" s="75" t="s">
        <v>107</v>
      </c>
      <c r="R29" s="75">
        <f>NORMINV(0.01,$R$26,$R$27)</f>
        <v>-1.9066735355828559</v>
      </c>
      <c r="T29" s="69">
        <v>15</v>
      </c>
      <c r="U29" s="77">
        <f t="shared" si="3"/>
        <v>7.5600000000000005</v>
      </c>
      <c r="V29" s="84">
        <v>0</v>
      </c>
      <c r="W29" s="79">
        <f t="shared" si="4"/>
        <v>7.3079999999999998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38302</v>
      </c>
      <c r="N30" s="57">
        <v>10</v>
      </c>
      <c r="O30" s="58">
        <f t="shared" si="0"/>
        <v>2.2512917986064953</v>
      </c>
      <c r="Q30" s="75" t="s">
        <v>105</v>
      </c>
      <c r="R30" s="75">
        <f>NORMINV(0.95,$R$26,$R$27)</f>
        <v>2.8291180769236375</v>
      </c>
      <c r="T30" s="69">
        <v>16</v>
      </c>
      <c r="U30" s="77">
        <f t="shared" si="3"/>
        <v>8.0640000000000001</v>
      </c>
      <c r="V30" s="84">
        <v>0</v>
      </c>
      <c r="W30" s="79">
        <f t="shared" si="4"/>
        <v>7.8120000000000003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17.430522819654087</v>
      </c>
      <c r="C31" s="62">
        <f>NORMINV(0.025,$R$26,$R$27)</f>
        <v>-1.4697484008542943</v>
      </c>
      <c r="E31" s="7" t="e">
        <f>NORMINV(0.98,$E$26,$E$27)</f>
        <v>#DIV/0!</v>
      </c>
      <c r="M31" s="56">
        <v>38378</v>
      </c>
      <c r="N31" s="57">
        <v>1</v>
      </c>
      <c r="O31" s="58">
        <f t="shared" si="0"/>
        <v>-0.69314718055994529</v>
      </c>
      <c r="Q31" s="75" t="s">
        <v>106</v>
      </c>
      <c r="R31" s="75">
        <f>NORMINV(0.98,$R$26,$R$27)</f>
        <v>3.3167394817712625</v>
      </c>
      <c r="T31" s="69">
        <v>17</v>
      </c>
      <c r="U31" s="77">
        <f t="shared" si="3"/>
        <v>8.5679999999999996</v>
      </c>
      <c r="V31" s="84">
        <v>0</v>
      </c>
      <c r="W31" s="79">
        <f t="shared" si="4"/>
        <v>8.3159999999999989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28.070310349946073</v>
      </c>
      <c r="C32" s="62">
        <f>NORMINV(0.01,$R$26,$R$27)</f>
        <v>-1.9066735355828559</v>
      </c>
      <c r="M32" s="56">
        <v>38489</v>
      </c>
      <c r="N32" s="57">
        <v>3</v>
      </c>
      <c r="O32" s="58">
        <f t="shared" si="0"/>
        <v>0.91629073187415511</v>
      </c>
      <c r="T32" s="69">
        <v>18</v>
      </c>
      <c r="U32" s="77">
        <f t="shared" si="3"/>
        <v>9.0719999999999992</v>
      </c>
      <c r="V32" s="84">
        <v>0</v>
      </c>
      <c r="W32" s="79">
        <f t="shared" si="4"/>
        <v>8.82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31.570310349946073</v>
      </c>
      <c r="M33" s="56">
        <v>38575</v>
      </c>
      <c r="N33" s="57">
        <v>3</v>
      </c>
      <c r="O33" s="58">
        <f t="shared" si="0"/>
        <v>0.91629073187415511</v>
      </c>
      <c r="T33" s="69">
        <v>19</v>
      </c>
      <c r="U33" s="77">
        <f t="shared" si="3"/>
        <v>9.5760000000000005</v>
      </c>
      <c r="V33" s="84">
        <v>0</v>
      </c>
      <c r="W33" s="79">
        <f t="shared" si="4"/>
        <v>9.3239999999999998</v>
      </c>
      <c r="X33" s="80">
        <f t="shared" si="2"/>
        <v>0</v>
      </c>
    </row>
    <row r="34" spans="1:24" ht="15" customHeight="1" x14ac:dyDescent="0.2">
      <c r="M34" s="56">
        <v>38663</v>
      </c>
      <c r="N34" s="57">
        <v>2</v>
      </c>
      <c r="O34" s="58">
        <f t="shared" si="0"/>
        <v>0.40546510810816438</v>
      </c>
      <c r="T34" s="69">
        <v>20</v>
      </c>
      <c r="U34" s="77">
        <f t="shared" si="3"/>
        <v>10.08</v>
      </c>
      <c r="V34" s="84">
        <v>0</v>
      </c>
      <c r="W34" s="79">
        <f t="shared" si="4"/>
        <v>9.8279999999999994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38777</v>
      </c>
      <c r="N35" s="57">
        <v>1</v>
      </c>
      <c r="O35" s="58">
        <f t="shared" si="0"/>
        <v>-0.69314718055994529</v>
      </c>
      <c r="T35" s="69">
        <v>21</v>
      </c>
      <c r="U35" s="77">
        <f t="shared" si="3"/>
        <v>10.584</v>
      </c>
      <c r="V35" s="84">
        <v>19</v>
      </c>
      <c r="W35" s="79">
        <f t="shared" si="4"/>
        <v>10.332000000000001</v>
      </c>
      <c r="X35" s="80">
        <f t="shared" si="2"/>
        <v>0.55438842203548078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38876</v>
      </c>
      <c r="N36" s="57">
        <v>2</v>
      </c>
      <c r="O36" s="58">
        <f t="shared" si="0"/>
        <v>0.40546510810816438</v>
      </c>
      <c r="T36" s="69">
        <v>22</v>
      </c>
      <c r="U36" s="77">
        <f t="shared" si="3"/>
        <v>11.088000000000001</v>
      </c>
      <c r="V36" s="84">
        <v>0</v>
      </c>
      <c r="W36" s="79">
        <f t="shared" si="4"/>
        <v>10.836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12.600000000000001</v>
      </c>
      <c r="D37" s="8"/>
      <c r="E37" s="8"/>
      <c r="M37" s="56">
        <v>38932</v>
      </c>
      <c r="N37" s="57">
        <v>3</v>
      </c>
      <c r="O37" s="58">
        <f t="shared" si="0"/>
        <v>0.91629073187415511</v>
      </c>
      <c r="T37" s="69">
        <v>23</v>
      </c>
      <c r="U37" s="77">
        <f t="shared" si="3"/>
        <v>11.592000000000001</v>
      </c>
      <c r="V37" s="84">
        <v>1</v>
      </c>
      <c r="W37" s="79">
        <f t="shared" si="4"/>
        <v>11.34</v>
      </c>
      <c r="X37" s="80">
        <f t="shared" si="2"/>
        <v>2.9178338001867414E-2</v>
      </c>
    </row>
    <row r="38" spans="1:24" ht="15" x14ac:dyDescent="0.2">
      <c r="A38" s="104" t="s">
        <v>19</v>
      </c>
      <c r="B38" s="53">
        <f>($B$37-$B$36)/25</f>
        <v>0.504</v>
      </c>
      <c r="M38" s="56">
        <v>39071</v>
      </c>
      <c r="N38" s="57">
        <v>1</v>
      </c>
      <c r="O38" s="58">
        <f t="shared" si="0"/>
        <v>-0.69314718055994529</v>
      </c>
      <c r="T38" s="69">
        <v>24</v>
      </c>
      <c r="U38" s="77">
        <f t="shared" si="3"/>
        <v>12.096</v>
      </c>
      <c r="V38" s="84">
        <v>0</v>
      </c>
      <c r="W38" s="79">
        <f t="shared" si="4"/>
        <v>11.844000000000001</v>
      </c>
      <c r="X38" s="80">
        <f t="shared" si="2"/>
        <v>0</v>
      </c>
    </row>
    <row r="39" spans="1:24" ht="15" x14ac:dyDescent="0.2">
      <c r="M39" s="56">
        <v>39126</v>
      </c>
      <c r="N39" s="57">
        <v>1</v>
      </c>
      <c r="O39" s="58">
        <f t="shared" si="0"/>
        <v>-0.69314718055994529</v>
      </c>
      <c r="T39" s="69">
        <v>25</v>
      </c>
      <c r="U39" s="77">
        <f t="shared" si="3"/>
        <v>12.6</v>
      </c>
      <c r="V39" s="84">
        <v>2</v>
      </c>
      <c r="W39" s="79">
        <f t="shared" si="4"/>
        <v>12.347999999999999</v>
      </c>
      <c r="X39" s="80">
        <f t="shared" si="2"/>
        <v>5.8356676003734828E-2</v>
      </c>
    </row>
    <row r="40" spans="1:24" ht="15" x14ac:dyDescent="0.2">
      <c r="M40" s="56">
        <v>39252</v>
      </c>
      <c r="N40" s="57">
        <v>2</v>
      </c>
      <c r="O40" s="58">
        <f t="shared" si="0"/>
        <v>0.40546510810816438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39329</v>
      </c>
      <c r="N41" s="57">
        <v>2</v>
      </c>
      <c r="O41" s="58">
        <f t="shared" si="0"/>
        <v>0.40546510810816438</v>
      </c>
    </row>
    <row r="42" spans="1:24" ht="15" x14ac:dyDescent="0.2">
      <c r="M42" s="56">
        <v>39419</v>
      </c>
      <c r="N42" s="57">
        <v>1</v>
      </c>
      <c r="O42" s="58">
        <f t="shared" si="0"/>
        <v>-0.69314718055994529</v>
      </c>
    </row>
    <row r="43" spans="1:24" ht="15" x14ac:dyDescent="0.2">
      <c r="M43" s="56">
        <v>39511</v>
      </c>
      <c r="N43" s="57">
        <v>1</v>
      </c>
      <c r="O43" s="58">
        <f t="shared" si="0"/>
        <v>-0.69314718055994529</v>
      </c>
    </row>
    <row r="44" spans="1:24" ht="15" x14ac:dyDescent="0.2">
      <c r="M44" s="56">
        <v>39609</v>
      </c>
      <c r="N44" s="57">
        <v>6</v>
      </c>
      <c r="O44" s="58">
        <f t="shared" si="0"/>
        <v>1.7047480922384253</v>
      </c>
      <c r="T44" s="83" t="s">
        <v>13</v>
      </c>
    </row>
    <row r="45" spans="1:24" ht="15" x14ac:dyDescent="0.2">
      <c r="M45" s="56">
        <v>39672</v>
      </c>
      <c r="N45" s="57">
        <v>2</v>
      </c>
      <c r="O45" s="58">
        <f t="shared" si="0"/>
        <v>0.40546510810816438</v>
      </c>
      <c r="T45" s="69" t="s">
        <v>26</v>
      </c>
      <c r="U45" s="69" t="s">
        <v>27</v>
      </c>
    </row>
    <row r="46" spans="1:24" ht="15" x14ac:dyDescent="0.2">
      <c r="B46" s="6"/>
      <c r="M46" s="56">
        <v>39771</v>
      </c>
      <c r="N46" s="57">
        <v>1</v>
      </c>
      <c r="O46" s="58">
        <f t="shared" si="0"/>
        <v>-0.69314718055994529</v>
      </c>
      <c r="T46" s="85">
        <f>$U$14-$B$38/100</f>
        <v>-5.0400000000000002E-3</v>
      </c>
      <c r="U46" s="28">
        <v>0</v>
      </c>
    </row>
    <row r="47" spans="1:24" ht="15" x14ac:dyDescent="0.2">
      <c r="B47" s="9"/>
      <c r="C47" s="9"/>
      <c r="D47" s="9"/>
      <c r="E47" s="9"/>
      <c r="M47" s="56">
        <v>39888</v>
      </c>
      <c r="N47" s="57">
        <v>2.2000000000000002</v>
      </c>
      <c r="O47" s="58">
        <f t="shared" si="0"/>
        <v>0.53062825106217049</v>
      </c>
      <c r="T47" s="85">
        <f>$U$14+$B$38/100</f>
        <v>5.0400000000000002E-3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39973</v>
      </c>
      <c r="N48" s="57">
        <v>1.9</v>
      </c>
      <c r="O48" s="58">
        <f t="shared" si="0"/>
        <v>0.33647223662121289</v>
      </c>
      <c r="T48" s="85">
        <f>$U$15-$B$38/100</f>
        <v>0.49896000000000001</v>
      </c>
      <c r="U48" s="28">
        <f>$X$15</f>
        <v>0</v>
      </c>
    </row>
    <row r="49" spans="5:21" ht="15" x14ac:dyDescent="0.2">
      <c r="E49" s="13"/>
      <c r="M49" s="56">
        <v>40071</v>
      </c>
      <c r="N49" s="57">
        <v>3.3</v>
      </c>
      <c r="O49" s="58">
        <f t="shared" si="0"/>
        <v>1.0296194171811581</v>
      </c>
      <c r="T49" s="85">
        <f>$U$15+$B$38/100</f>
        <v>0.50904000000000005</v>
      </c>
      <c r="U49" s="28">
        <f>$X$16</f>
        <v>0</v>
      </c>
    </row>
    <row r="50" spans="5:21" ht="15" x14ac:dyDescent="0.2">
      <c r="E50" s="15"/>
      <c r="M50" s="56">
        <v>40150</v>
      </c>
      <c r="N50" s="57">
        <v>2.6</v>
      </c>
      <c r="O50" s="58">
        <f t="shared" si="0"/>
        <v>0.74193734472937733</v>
      </c>
      <c r="T50" s="85">
        <f>$U$16-$B$38/100</f>
        <v>1.0029600000000001</v>
      </c>
      <c r="U50" s="28">
        <f>$X$16</f>
        <v>0</v>
      </c>
    </row>
    <row r="51" spans="5:21" ht="15" x14ac:dyDescent="0.2">
      <c r="E51" s="15"/>
      <c r="M51" s="56">
        <v>40246</v>
      </c>
      <c r="N51" s="57">
        <v>1</v>
      </c>
      <c r="O51" s="58">
        <f t="shared" si="0"/>
        <v>-0.69314718055994529</v>
      </c>
      <c r="T51" s="85">
        <f>$U$16+$B$38/100</f>
        <v>1.0130399999999999</v>
      </c>
      <c r="U51" s="28">
        <f>$X$17</f>
        <v>0.52521008403361347</v>
      </c>
    </row>
    <row r="52" spans="5:21" ht="15" x14ac:dyDescent="0.2">
      <c r="E52" s="15"/>
      <c r="M52" s="56">
        <v>40339</v>
      </c>
      <c r="N52" s="57">
        <v>1</v>
      </c>
      <c r="O52" s="58">
        <f t="shared" si="0"/>
        <v>-0.69314718055994529</v>
      </c>
      <c r="T52" s="85">
        <f>$U$17-$B$38/100</f>
        <v>1.5069600000000001</v>
      </c>
      <c r="U52" s="28">
        <f>$X$17</f>
        <v>0.52521008403361347</v>
      </c>
    </row>
    <row r="53" spans="5:21" ht="15" x14ac:dyDescent="0.2">
      <c r="E53" s="15"/>
      <c r="F53" s="15"/>
      <c r="G53" s="15"/>
      <c r="M53" s="56">
        <v>40428</v>
      </c>
      <c r="N53" s="57">
        <v>1.4</v>
      </c>
      <c r="O53" s="58">
        <f t="shared" si="0"/>
        <v>-0.10536051565782641</v>
      </c>
      <c r="T53" s="85">
        <f>$U$17+$B$38/100</f>
        <v>1.5170399999999999</v>
      </c>
      <c r="U53" s="28">
        <f>$X$18</f>
        <v>8.7535014005602249E-2</v>
      </c>
    </row>
    <row r="54" spans="5:21" ht="15" x14ac:dyDescent="0.2">
      <c r="E54" s="15"/>
      <c r="F54" s="15"/>
      <c r="G54" s="15"/>
      <c r="M54" s="56">
        <v>40512</v>
      </c>
      <c r="N54" s="57">
        <v>1</v>
      </c>
      <c r="O54" s="58">
        <f t="shared" si="0"/>
        <v>-0.69314718055994529</v>
      </c>
      <c r="T54" s="85">
        <f>$U$18-$B$38/100</f>
        <v>2.0109599999999999</v>
      </c>
      <c r="U54" s="28">
        <f>$X$18</f>
        <v>8.7535014005602249E-2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40589</v>
      </c>
      <c r="N55" s="57">
        <v>1.5</v>
      </c>
      <c r="O55" s="58">
        <f t="shared" si="0"/>
        <v>0</v>
      </c>
      <c r="T55" s="85">
        <f>$U$18+$B$38/100</f>
        <v>2.0210400000000002</v>
      </c>
      <c r="U55" s="28">
        <f>$X$19</f>
        <v>0.1750700280112045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40724</v>
      </c>
      <c r="N56" s="57">
        <v>3.6</v>
      </c>
      <c r="O56" s="58">
        <f t="shared" si="0"/>
        <v>1.1314021114911006</v>
      </c>
      <c r="T56" s="85">
        <f>$U$19-$B$38/100</f>
        <v>2.5149599999999999</v>
      </c>
      <c r="U56" s="28">
        <f>$X$19</f>
        <v>0.1750700280112045</v>
      </c>
    </row>
    <row r="57" spans="5:21" ht="15" x14ac:dyDescent="0.2">
      <c r="E57" s="70">
        <v>1</v>
      </c>
      <c r="F57" s="74">
        <f>$B$21</f>
        <v>12.565718801205108</v>
      </c>
      <c r="G57" s="74">
        <f>$C$21</f>
        <v>-2.9892482129698124</v>
      </c>
      <c r="H57" s="74">
        <f>$B$22</f>
        <v>14.01959483175045</v>
      </c>
      <c r="I57" s="74">
        <f>$C$22</f>
        <v>-4.4431242435151539</v>
      </c>
      <c r="J57" s="74">
        <f>$B$31</f>
        <v>17.430522819654087</v>
      </c>
      <c r="K57" s="74">
        <f>$B$32</f>
        <v>28.070310349946073</v>
      </c>
      <c r="M57" s="56">
        <v>40801</v>
      </c>
      <c r="N57" s="57">
        <v>1</v>
      </c>
      <c r="O57" s="58">
        <f t="shared" si="0"/>
        <v>-0.69314718055994529</v>
      </c>
      <c r="T57" s="85">
        <f>$U$19+$B$38/100</f>
        <v>2.5250400000000002</v>
      </c>
      <c r="U57" s="28">
        <f>$X$20</f>
        <v>8.7535014005602249E-2</v>
      </c>
    </row>
    <row r="58" spans="5:21" ht="15" x14ac:dyDescent="0.2">
      <c r="E58" s="70">
        <v>73415</v>
      </c>
      <c r="F58" s="74">
        <f>$B$21</f>
        <v>12.565718801205108</v>
      </c>
      <c r="G58" s="74">
        <f>$C$21</f>
        <v>-2.9892482129698124</v>
      </c>
      <c r="H58" s="74">
        <f>$B$22</f>
        <v>14.01959483175045</v>
      </c>
      <c r="I58" s="74">
        <f>$C$22</f>
        <v>-4.4431242435151539</v>
      </c>
      <c r="J58" s="74">
        <f>$B$31</f>
        <v>17.430522819654087</v>
      </c>
      <c r="K58" s="74">
        <f>$B$32</f>
        <v>28.070310349946073</v>
      </c>
      <c r="M58" s="56">
        <v>40879</v>
      </c>
      <c r="N58" s="57">
        <v>1</v>
      </c>
      <c r="O58" s="58">
        <f t="shared" si="0"/>
        <v>-0.69314718055994529</v>
      </c>
      <c r="T58" s="85">
        <f>$U$20-$B$38/100</f>
        <v>3.0189599999999999</v>
      </c>
      <c r="U58" s="28">
        <f>$X$20</f>
        <v>8.7535014005602249E-2</v>
      </c>
    </row>
    <row r="59" spans="5:21" ht="15" x14ac:dyDescent="0.2">
      <c r="M59" s="56">
        <v>40961</v>
      </c>
      <c r="N59" s="57">
        <v>2.1</v>
      </c>
      <c r="O59" s="58">
        <f t="shared" si="0"/>
        <v>0.47000362924573563</v>
      </c>
      <c r="T59" s="85">
        <f>$U$20+$B$38/100</f>
        <v>3.0290400000000002</v>
      </c>
      <c r="U59" s="28">
        <f>$X$21</f>
        <v>0.20424836601307189</v>
      </c>
    </row>
    <row r="60" spans="5:21" ht="15" x14ac:dyDescent="0.2">
      <c r="M60" s="56">
        <v>41065</v>
      </c>
      <c r="N60" s="57">
        <v>4.0999999999999996</v>
      </c>
      <c r="O60" s="58">
        <f t="shared" si="0"/>
        <v>1.2809338454620642</v>
      </c>
      <c r="T60" s="85">
        <f>$U$21-$B$38/100</f>
        <v>3.5229599999999999</v>
      </c>
      <c r="U60" s="28">
        <f>$X$21</f>
        <v>0.20424836601307189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41151</v>
      </c>
      <c r="N61" s="57">
        <v>4</v>
      </c>
      <c r="O61" s="58">
        <f t="shared" si="0"/>
        <v>1.2527629684953681</v>
      </c>
      <c r="T61" s="85">
        <f>$U$21+$B$38/100</f>
        <v>3.5330400000000002</v>
      </c>
      <c r="U61" s="28">
        <f>$X$22</f>
        <v>2.9178338001867414E-2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41249</v>
      </c>
      <c r="N62" s="57">
        <v>12</v>
      </c>
      <c r="O62" s="58">
        <f t="shared" si="0"/>
        <v>2.4423470353692043</v>
      </c>
      <c r="T62" s="85">
        <f>$U$22-$B$38/100</f>
        <v>4.0269599999999999</v>
      </c>
      <c r="U62" s="28">
        <f>$X$22</f>
        <v>2.9178338001867414E-2</v>
      </c>
    </row>
    <row r="63" spans="5:21" ht="15" x14ac:dyDescent="0.2">
      <c r="E63" s="72">
        <v>-5</v>
      </c>
      <c r="F63" s="73">
        <f>$B$16+$E63*$B$17</f>
        <v>-15.052648437510225</v>
      </c>
      <c r="G63" s="73">
        <f>NORMDIST($F63,$B$16,$B$17,FALSE)</f>
        <v>3.7466060858074435E-7</v>
      </c>
      <c r="H63" s="73">
        <f>EXP($R$26+$E63*$R$27)</f>
        <v>6.1267319620512016E-3</v>
      </c>
      <c r="I63" s="73">
        <f t="shared" ref="I63:I113" si="5">H63-$B$26</f>
        <v>0.50612673196205116</v>
      </c>
      <c r="J63" s="73">
        <f>1/$H63/SQRT(2*PI())/$R$27*EXP(-POWER(LN($H63)-$R$26,2)/2/POWER($R$27,2))</f>
        <v>2.0348364153816587E-4</v>
      </c>
      <c r="K63" s="73">
        <f>LOGNORMDIST($H63,$R$26,$R$27)</f>
        <v>2.8665157187919333E-7</v>
      </c>
      <c r="M63" s="56">
        <v>41697</v>
      </c>
      <c r="N63" s="57">
        <v>3.7</v>
      </c>
      <c r="O63" s="58">
        <f t="shared" si="0"/>
        <v>1.1631508098056809</v>
      </c>
      <c r="T63" s="85">
        <f>$U$22+$B$38/100</f>
        <v>4.0370400000000002</v>
      </c>
      <c r="U63" s="28">
        <f>$X$23</f>
        <v>8.7535014005602249E-2</v>
      </c>
    </row>
    <row r="64" spans="5:21" ht="15" x14ac:dyDescent="0.2">
      <c r="E64" s="72">
        <v>-4.8</v>
      </c>
      <c r="F64" s="73">
        <f t="shared" ref="F64:F113" si="6">$B$16+$E64*$B$17</f>
        <v>-14.259013088245112</v>
      </c>
      <c r="G64" s="73">
        <f t="shared" ref="G64:G113" si="7">NORMDIST($F64,$B$16,$B$17,FALSE)</f>
        <v>9.9826679713803882E-7</v>
      </c>
      <c r="H64" s="73">
        <f t="shared" ref="H64:H113" si="8">EXP($R$26+$E64*$R$27)</f>
        <v>7.7769810685682124E-3</v>
      </c>
      <c r="I64" s="73">
        <f t="shared" si="5"/>
        <v>0.50777698106856817</v>
      </c>
      <c r="J64" s="73">
        <f t="shared" ref="J64:J113" si="9">1/$H64/SQRT(2*PI())/$R$27*EXP(-POWER(LN($H64)-$R$26,2)/2/POWER($R$27,2))</f>
        <v>4.2712592515487934E-4</v>
      </c>
      <c r="K64" s="73">
        <f t="shared" ref="K64:K113" si="10">LOGNORMDIST($H64,$R$26,$R$27)</f>
        <v>7.933281519755948E-7</v>
      </c>
      <c r="M64" s="56">
        <v>41802</v>
      </c>
      <c r="N64" s="57">
        <v>4.5</v>
      </c>
      <c r="O64" s="58">
        <f t="shared" si="0"/>
        <v>1.3862943611198906</v>
      </c>
      <c r="T64" s="85">
        <f>$U$23-$B$38/100</f>
        <v>4.5309599999999994</v>
      </c>
      <c r="U64" s="28">
        <f>$X$23</f>
        <v>8.7535014005602249E-2</v>
      </c>
    </row>
    <row r="65" spans="5:21" ht="15" x14ac:dyDescent="0.2">
      <c r="E65" s="72">
        <v>-4.5999999999999996</v>
      </c>
      <c r="F65" s="73">
        <f t="shared" si="6"/>
        <v>-13.465377738979996</v>
      </c>
      <c r="G65" s="73">
        <f t="shared" si="7"/>
        <v>2.555544451208459E-6</v>
      </c>
      <c r="H65" s="73">
        <f t="shared" si="8"/>
        <v>9.8717285031381594E-3</v>
      </c>
      <c r="I65" s="73">
        <f t="shared" si="5"/>
        <v>0.50987172850313811</v>
      </c>
      <c r="J65" s="73">
        <f t="shared" si="9"/>
        <v>8.6141133968763346E-4</v>
      </c>
      <c r="K65" s="73">
        <f t="shared" si="10"/>
        <v>2.1124547025028533E-6</v>
      </c>
      <c r="M65" s="56">
        <v>41911</v>
      </c>
      <c r="N65" s="57">
        <v>2.6</v>
      </c>
      <c r="O65" s="58">
        <f t="shared" si="0"/>
        <v>0.74193734472937733</v>
      </c>
      <c r="T65" s="85">
        <f>$U$23+$B$38/100</f>
        <v>4.5410399999999997</v>
      </c>
      <c r="U65" s="28">
        <f>$X$24</f>
        <v>5.8356676003734828E-2</v>
      </c>
    </row>
    <row r="66" spans="5:21" ht="15" x14ac:dyDescent="0.2">
      <c r="E66" s="72">
        <v>-4.4000000000000004</v>
      </c>
      <c r="F66" s="73">
        <f t="shared" si="6"/>
        <v>-12.671742389714883</v>
      </c>
      <c r="G66" s="73">
        <f t="shared" si="7"/>
        <v>6.2856250828921846E-6</v>
      </c>
      <c r="H66" s="73">
        <f t="shared" si="8"/>
        <v>1.2530700895432626E-2</v>
      </c>
      <c r="I66" s="73">
        <f t="shared" si="5"/>
        <v>0.51253070089543262</v>
      </c>
      <c r="J66" s="73">
        <f t="shared" si="9"/>
        <v>1.6691426613232615E-3</v>
      </c>
      <c r="K66" s="73">
        <f t="shared" si="10"/>
        <v>5.4125439077038416E-6</v>
      </c>
      <c r="M66" s="56">
        <v>41970</v>
      </c>
      <c r="N66" s="57">
        <v>4.9000000000000004</v>
      </c>
      <c r="O66" s="58">
        <f t="shared" si="0"/>
        <v>1.4816045409242156</v>
      </c>
      <c r="T66" s="85">
        <f>$U$24-$B$38/100</f>
        <v>5.0349599999999999</v>
      </c>
      <c r="U66" s="28">
        <f>$X$24</f>
        <v>5.8356676003734828E-2</v>
      </c>
    </row>
    <row r="67" spans="5:21" ht="15" x14ac:dyDescent="0.2">
      <c r="E67" s="72">
        <v>-4.2</v>
      </c>
      <c r="F67" s="73">
        <f t="shared" si="6"/>
        <v>-11.878107040449766</v>
      </c>
      <c r="G67" s="73">
        <f t="shared" si="7"/>
        <v>1.4853942131262058E-5</v>
      </c>
      <c r="H67" s="73">
        <f t="shared" si="8"/>
        <v>1.5905873513527138E-2</v>
      </c>
      <c r="I67" s="73">
        <f t="shared" si="5"/>
        <v>0.51590587351352712</v>
      </c>
      <c r="J67" s="73">
        <f t="shared" si="9"/>
        <v>3.1074528723180469E-3</v>
      </c>
      <c r="K67" s="73">
        <f t="shared" si="10"/>
        <v>1.3345749015906309E-5</v>
      </c>
      <c r="M67" s="56">
        <v>42075</v>
      </c>
      <c r="N67" s="57">
        <v>1.1000000000000001</v>
      </c>
      <c r="O67" s="58">
        <f t="shared" ref="O67:O130" si="11">IF($N67&gt;0,LN($N67+$B$26))</f>
        <v>-0.5108256237659905</v>
      </c>
      <c r="T67" s="85">
        <f>$U$24+$B$38/100</f>
        <v>5.0450400000000002</v>
      </c>
      <c r="U67" s="28">
        <f>$X$25</f>
        <v>2.9178338001867414E-2</v>
      </c>
    </row>
    <row r="68" spans="5:21" ht="15" x14ac:dyDescent="0.2">
      <c r="E68" s="72">
        <v>-4</v>
      </c>
      <c r="F68" s="73">
        <f t="shared" si="6"/>
        <v>-11.084471691184651</v>
      </c>
      <c r="G68" s="73">
        <f t="shared" si="7"/>
        <v>3.3725873195746273E-5</v>
      </c>
      <c r="H68" s="73">
        <f t="shared" si="8"/>
        <v>2.0190156507569352E-2</v>
      </c>
      <c r="I68" s="73">
        <f t="shared" si="5"/>
        <v>0.52019015650756939</v>
      </c>
      <c r="J68" s="73">
        <f t="shared" si="9"/>
        <v>5.5583240826952377E-3</v>
      </c>
      <c r="K68" s="73">
        <f t="shared" si="10"/>
        <v>3.1671241833119857E-5</v>
      </c>
      <c r="M68" s="56">
        <v>42171</v>
      </c>
      <c r="N68" s="57">
        <v>2.2000000000000002</v>
      </c>
      <c r="O68" s="58">
        <f t="shared" si="11"/>
        <v>0.53062825106217049</v>
      </c>
      <c r="T68" s="85">
        <f>$U$25-$B$38/100</f>
        <v>5.5389600000000003</v>
      </c>
      <c r="U68" s="28">
        <f>$X$25</f>
        <v>2.9178338001867414E-2</v>
      </c>
    </row>
    <row r="69" spans="5:21" ht="15" x14ac:dyDescent="0.2">
      <c r="E69" s="72">
        <v>-3.8</v>
      </c>
      <c r="F69" s="73">
        <f t="shared" si="6"/>
        <v>-10.290836341919535</v>
      </c>
      <c r="G69" s="73">
        <f t="shared" si="7"/>
        <v>7.3572057006229699E-5</v>
      </c>
      <c r="H69" s="73">
        <f t="shared" si="8"/>
        <v>2.5628420812818981E-2</v>
      </c>
      <c r="I69" s="73">
        <f t="shared" si="5"/>
        <v>0.52562842081281902</v>
      </c>
      <c r="J69" s="73">
        <f t="shared" si="9"/>
        <v>9.552375807407339E-3</v>
      </c>
      <c r="K69" s="73">
        <f t="shared" si="10"/>
        <v>7.234804392511999E-5</v>
      </c>
      <c r="M69" s="56">
        <v>42261</v>
      </c>
      <c r="N69" s="57">
        <v>11</v>
      </c>
      <c r="O69" s="58">
        <f t="shared" si="11"/>
        <v>2.3513752571634776</v>
      </c>
      <c r="T69" s="85">
        <f>$U$25+$B$38/100</f>
        <v>5.5490400000000006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-9.4972009926544221</v>
      </c>
      <c r="G70" s="73">
        <f t="shared" si="7"/>
        <v>1.5420228715376063E-4</v>
      </c>
      <c r="H70" s="73">
        <f t="shared" si="8"/>
        <v>3.2531493904600993E-2</v>
      </c>
      <c r="I70" s="73">
        <f t="shared" si="5"/>
        <v>0.53253149390460097</v>
      </c>
      <c r="J70" s="73">
        <f t="shared" si="9"/>
        <v>1.5772740410747249E-2</v>
      </c>
      <c r="K70" s="73">
        <f t="shared" si="10"/>
        <v>1.5910859015753364E-4</v>
      </c>
      <c r="M70" s="56">
        <v>42341</v>
      </c>
      <c r="N70" s="57">
        <v>5.9</v>
      </c>
      <c r="O70" s="58">
        <f t="shared" si="11"/>
        <v>1.6863989535702288</v>
      </c>
      <c r="T70" s="85">
        <f>$U$26-$B$38/100</f>
        <v>6.0429599999999999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-8.7035656433893056</v>
      </c>
      <c r="G71" s="73">
        <f t="shared" si="7"/>
        <v>3.1052527325402572E-4</v>
      </c>
      <c r="H71" s="73">
        <f t="shared" si="8"/>
        <v>4.1293925341500032E-2</v>
      </c>
      <c r="I71" s="73">
        <f t="shared" si="5"/>
        <v>0.5412939253415</v>
      </c>
      <c r="J71" s="73">
        <f t="shared" si="9"/>
        <v>2.5022525017097078E-2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6.0530400000000002</v>
      </c>
      <c r="U71" s="28">
        <f>$X$27</f>
        <v>5.8356676003734828E-2</v>
      </c>
    </row>
    <row r="72" spans="5:21" ht="15" x14ac:dyDescent="0.2">
      <c r="E72" s="72">
        <v>-3.2</v>
      </c>
      <c r="F72" s="73">
        <f t="shared" si="6"/>
        <v>-7.9099302941241927</v>
      </c>
      <c r="G72" s="73">
        <f t="shared" si="7"/>
        <v>6.008019183299842E-4</v>
      </c>
      <c r="H72" s="73">
        <f t="shared" si="8"/>
        <v>5.2416537497781801E-2</v>
      </c>
      <c r="I72" s="73">
        <f t="shared" si="5"/>
        <v>0.55241653749778186</v>
      </c>
      <c r="J72" s="73">
        <f t="shared" si="9"/>
        <v>3.8140231894602278E-2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6.5469599999999994</v>
      </c>
      <c r="U72" s="28">
        <f>$X$27</f>
        <v>5.8356676003734828E-2</v>
      </c>
    </row>
    <row r="73" spans="5:21" ht="15" x14ac:dyDescent="0.2">
      <c r="E73" s="72">
        <v>-3</v>
      </c>
      <c r="F73" s="73">
        <f t="shared" si="6"/>
        <v>-7.1162949448590762</v>
      </c>
      <c r="G73" s="73">
        <f t="shared" si="7"/>
        <v>1.1168475335786845E-3</v>
      </c>
      <c r="H73" s="73">
        <f t="shared" si="8"/>
        <v>6.6535050386579739E-2</v>
      </c>
      <c r="I73" s="73">
        <f t="shared" si="5"/>
        <v>0.5665350503865797</v>
      </c>
      <c r="J73" s="73">
        <f t="shared" si="9"/>
        <v>5.5855217475695378E-2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6.5570399999999998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-6.3226595955939615</v>
      </c>
      <c r="G74" s="73">
        <f t="shared" si="7"/>
        <v>1.9947326162599644E-3</v>
      </c>
      <c r="H74" s="73">
        <f t="shared" si="8"/>
        <v>8.4456416643927404E-2</v>
      </c>
      <c r="I74" s="73">
        <f t="shared" si="5"/>
        <v>0.58445641664392745</v>
      </c>
      <c r="J74" s="73">
        <f t="shared" si="9"/>
        <v>7.8590922342498939E-2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7.0509599999999999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-5.5290242463288468</v>
      </c>
      <c r="G75" s="73">
        <f t="shared" si="7"/>
        <v>3.4229748577260521E-3</v>
      </c>
      <c r="H75" s="73">
        <f t="shared" si="8"/>
        <v>0.10720494342289361</v>
      </c>
      <c r="I75" s="73">
        <f t="shared" si="5"/>
        <v>0.60720494342289366</v>
      </c>
      <c r="J75" s="73">
        <f t="shared" si="9"/>
        <v>0.10624518204187279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7.0610400000000002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-4.7353888970637321</v>
      </c>
      <c r="G76" s="73">
        <f t="shared" si="7"/>
        <v>5.6435314570046895E-3</v>
      </c>
      <c r="H76" s="73">
        <f t="shared" si="8"/>
        <v>0.13608083732418433</v>
      </c>
      <c r="I76" s="73">
        <f t="shared" si="5"/>
        <v>0.6360808373241843</v>
      </c>
      <c r="J76" s="73">
        <f t="shared" si="9"/>
        <v>0.13799848704243797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7.5549600000000003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-3.9417535477986174</v>
      </c>
      <c r="G77" s="73">
        <f t="shared" si="7"/>
        <v>8.9397713645391289E-3</v>
      </c>
      <c r="H77" s="73">
        <f t="shared" si="8"/>
        <v>0.1727345185361723</v>
      </c>
      <c r="I77" s="73">
        <f t="shared" si="5"/>
        <v>0.67273451853617228</v>
      </c>
      <c r="J77" s="73">
        <f t="shared" si="9"/>
        <v>0.17221367149917791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7.5650400000000007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-3.1481181985335018</v>
      </c>
      <c r="G78" s="73">
        <f t="shared" si="7"/>
        <v>1.3605988332848894E-2</v>
      </c>
      <c r="H78" s="73">
        <f t="shared" si="8"/>
        <v>0.21926095165656792</v>
      </c>
      <c r="I78" s="73">
        <f t="shared" si="5"/>
        <v>0.71926095165656789</v>
      </c>
      <c r="J78" s="73">
        <f t="shared" si="9"/>
        <v>0.20648530390396297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8.0589600000000008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-2.3544828492683871</v>
      </c>
      <c r="G79" s="73">
        <f t="shared" si="7"/>
        <v>1.9895827063146791E-2</v>
      </c>
      <c r="H79" s="73">
        <f t="shared" si="8"/>
        <v>0.27831938473418877</v>
      </c>
      <c r="I79" s="73">
        <f t="shared" si="5"/>
        <v>0.77831938473418871</v>
      </c>
      <c r="J79" s="73">
        <f t="shared" si="9"/>
        <v>0.23786957105636919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8.0690399999999993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-1.5608475000032724</v>
      </c>
      <c r="G80" s="73">
        <f t="shared" si="7"/>
        <v>2.7952594294638023E-2</v>
      </c>
      <c r="H80" s="73">
        <f t="shared" si="8"/>
        <v>0.35328534029236036</v>
      </c>
      <c r="I80" s="73">
        <f t="shared" si="5"/>
        <v>0.85328534029236036</v>
      </c>
      <c r="J80" s="73">
        <f t="shared" si="9"/>
        <v>0.26327938350294267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8.5629600000000003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-0.76721215073815685</v>
      </c>
      <c r="G81" s="73">
        <f t="shared" si="7"/>
        <v>3.7732055603215887E-2</v>
      </c>
      <c r="H81" s="73">
        <f t="shared" si="8"/>
        <v>0.44844354547812137</v>
      </c>
      <c r="I81" s="73">
        <f t="shared" si="5"/>
        <v>0.94844354547812137</v>
      </c>
      <c r="J81" s="73">
        <f t="shared" si="9"/>
        <v>0.27997743856757434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8.5730399999999989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2.6423198526957847E-2</v>
      </c>
      <c r="G82" s="73">
        <f t="shared" si="7"/>
        <v>4.8935838143556495E-2</v>
      </c>
      <c r="H82" s="73">
        <f t="shared" si="8"/>
        <v>0.56923282838333089</v>
      </c>
      <c r="I82" s="73">
        <f t="shared" si="5"/>
        <v>1.0692328283833308</v>
      </c>
      <c r="J82" s="73">
        <f t="shared" si="9"/>
        <v>0.28606020158656259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9.0669599999999999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0.82005854779207299</v>
      </c>
      <c r="G83" s="73">
        <f t="shared" si="7"/>
        <v>6.0977809202476113E-2</v>
      </c>
      <c r="H83" s="73">
        <f t="shared" si="8"/>
        <v>0.72255697774357919</v>
      </c>
      <c r="I83" s="73">
        <f t="shared" si="5"/>
        <v>1.2225569777435792</v>
      </c>
      <c r="J83" s="73">
        <f t="shared" si="9"/>
        <v>0.28081484682860852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9.0770399999999984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1.6136938970571877</v>
      </c>
      <c r="G84" s="73">
        <f t="shared" si="7"/>
        <v>7.300369194233329E-2</v>
      </c>
      <c r="H84" s="73">
        <f t="shared" si="8"/>
        <v>0.9171793333998508</v>
      </c>
      <c r="I84" s="73">
        <f t="shared" si="5"/>
        <v>1.4171793333998508</v>
      </c>
      <c r="J84" s="73">
        <f t="shared" si="9"/>
        <v>0.26485666806222147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9.5709600000000012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2.4073292463223028</v>
      </c>
      <c r="G85" s="73">
        <f t="shared" si="7"/>
        <v>8.3974234061110473E-2</v>
      </c>
      <c r="H85" s="73">
        <f t="shared" si="8"/>
        <v>1.1642236605932079</v>
      </c>
      <c r="I85" s="73">
        <f t="shared" si="5"/>
        <v>1.6642236605932079</v>
      </c>
      <c r="J85" s="73">
        <f t="shared" si="9"/>
        <v>0.24001035416652933</v>
      </c>
      <c r="K85" s="73">
        <f t="shared" si="10"/>
        <v>0.27425311775007355</v>
      </c>
      <c r="M85" s="56"/>
      <c r="N85" s="57"/>
      <c r="O85" s="58" t="b">
        <f t="shared" si="11"/>
        <v>0</v>
      </c>
      <c r="T85" s="85">
        <f>$U$33+$B$38/100</f>
        <v>9.5810399999999998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3.2009645955874175</v>
      </c>
      <c r="G86" s="73">
        <f t="shared" si="7"/>
        <v>9.2805881352016784E-2</v>
      </c>
      <c r="H86" s="73">
        <f t="shared" si="8"/>
        <v>1.4778099358832211</v>
      </c>
      <c r="I86" s="73">
        <f t="shared" si="5"/>
        <v>1.9778099358832211</v>
      </c>
      <c r="J86" s="73">
        <f t="shared" si="9"/>
        <v>0.20896678692879236</v>
      </c>
      <c r="K86" s="73">
        <f t="shared" si="10"/>
        <v>0.34457825838967576</v>
      </c>
      <c r="M86" s="56"/>
      <c r="N86" s="57"/>
      <c r="O86" s="58" t="b">
        <f t="shared" si="11"/>
        <v>0</v>
      </c>
      <c r="T86" s="85">
        <f>$U$34-$B$38/100</f>
        <v>10.074960000000001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3.9945999448525327</v>
      </c>
      <c r="G87" s="73">
        <f t="shared" si="7"/>
        <v>9.8544676553923891E-2</v>
      </c>
      <c r="H87" s="73">
        <f t="shared" si="8"/>
        <v>1.8758613834410427</v>
      </c>
      <c r="I87" s="73">
        <f t="shared" si="5"/>
        <v>2.3758613834410429</v>
      </c>
      <c r="J87" s="73">
        <f t="shared" si="9"/>
        <v>0.17480456622845891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10.085039999999999</v>
      </c>
      <c r="U87" s="28">
        <f>$X$35</f>
        <v>0.55438842203548078</v>
      </c>
    </row>
    <row r="88" spans="5:21" ht="15" x14ac:dyDescent="0.2">
      <c r="E88" s="72">
        <v>0</v>
      </c>
      <c r="F88" s="73">
        <f t="shared" si="6"/>
        <v>4.7882352941176478</v>
      </c>
      <c r="G88" s="73">
        <f t="shared" si="7"/>
        <v>0.10053541107281638</v>
      </c>
      <c r="H88" s="73">
        <f t="shared" si="8"/>
        <v>2.3811288883927277</v>
      </c>
      <c r="I88" s="73">
        <f t="shared" si="5"/>
        <v>2.8811288883927277</v>
      </c>
      <c r="J88" s="73">
        <f t="shared" si="9"/>
        <v>0.14049358731092659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10.57896</v>
      </c>
      <c r="U88" s="28">
        <f>$X$35</f>
        <v>0.55438842203548078</v>
      </c>
    </row>
    <row r="89" spans="5:21" ht="15" x14ac:dyDescent="0.2">
      <c r="E89" s="72">
        <v>0.2</v>
      </c>
      <c r="F89" s="73">
        <f t="shared" si="6"/>
        <v>5.5818706433827625</v>
      </c>
      <c r="G89" s="73">
        <f t="shared" si="7"/>
        <v>9.8544676553923904E-2</v>
      </c>
      <c r="H89" s="73">
        <f t="shared" si="8"/>
        <v>3.0224913382127765</v>
      </c>
      <c r="I89" s="73">
        <f t="shared" si="5"/>
        <v>3.5224913382127765</v>
      </c>
      <c r="J89" s="73">
        <f t="shared" si="9"/>
        <v>0.1084896857408444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10.589039999999999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6.3755059926478781</v>
      </c>
      <c r="G90" s="73">
        <f t="shared" si="7"/>
        <v>9.2805881352016784E-2</v>
      </c>
      <c r="H90" s="73">
        <f t="shared" si="8"/>
        <v>3.8366062140120989</v>
      </c>
      <c r="I90" s="73">
        <f t="shared" si="5"/>
        <v>4.3366062140120984</v>
      </c>
      <c r="J90" s="73">
        <f t="shared" si="9"/>
        <v>8.0491240634785535E-2</v>
      </c>
      <c r="K90" s="73">
        <f t="shared" si="10"/>
        <v>0.65542174161032418</v>
      </c>
      <c r="M90" s="56"/>
      <c r="N90" s="57"/>
      <c r="O90" s="58" t="b">
        <f t="shared" si="11"/>
        <v>0</v>
      </c>
      <c r="T90" s="85">
        <f>$U$36-$B$38/100</f>
        <v>11.082960000000002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7.1691413419129928</v>
      </c>
      <c r="G91" s="73">
        <f t="shared" si="7"/>
        <v>8.3974234061110473E-2</v>
      </c>
      <c r="H91" s="73">
        <f t="shared" si="8"/>
        <v>4.8700047723213782</v>
      </c>
      <c r="I91" s="73">
        <f t="shared" si="5"/>
        <v>5.3700047723213782</v>
      </c>
      <c r="J91" s="73">
        <f t="shared" si="9"/>
        <v>5.7376891024038069E-2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11.09304</v>
      </c>
      <c r="U91" s="28">
        <f>$X$37</f>
        <v>2.9178338001867414E-2</v>
      </c>
    </row>
    <row r="92" spans="5:21" ht="15" x14ac:dyDescent="0.2">
      <c r="E92" s="72">
        <v>0.80000000000001004</v>
      </c>
      <c r="F92" s="73">
        <f t="shared" si="6"/>
        <v>7.9627766911781475</v>
      </c>
      <c r="G92" s="73">
        <f t="shared" si="7"/>
        <v>7.3003691942332721E-2</v>
      </c>
      <c r="H92" s="73">
        <f t="shared" si="8"/>
        <v>6.1817515688250637</v>
      </c>
      <c r="I92" s="73">
        <f t="shared" si="5"/>
        <v>6.6817515688250637</v>
      </c>
      <c r="J92" s="73">
        <f t="shared" si="9"/>
        <v>3.9296477633439214E-2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11.586960000000001</v>
      </c>
      <c r="U92" s="28">
        <f>$X$37</f>
        <v>2.9178338001867414E-2</v>
      </c>
    </row>
    <row r="93" spans="5:21" ht="15" x14ac:dyDescent="0.2">
      <c r="E93" s="72">
        <v>1.00000000000001</v>
      </c>
      <c r="F93" s="73">
        <f t="shared" si="6"/>
        <v>8.7564120404432622</v>
      </c>
      <c r="G93" s="73">
        <f t="shared" si="7"/>
        <v>6.0977809202475503E-2</v>
      </c>
      <c r="H93" s="73">
        <f t="shared" si="8"/>
        <v>7.8468203308259303</v>
      </c>
      <c r="I93" s="73">
        <f t="shared" si="5"/>
        <v>8.3468203308259312</v>
      </c>
      <c r="J93" s="73">
        <f t="shared" si="9"/>
        <v>2.5858209883167591E-2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11.59704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9.5500473897083769</v>
      </c>
      <c r="G94" s="73">
        <f t="shared" si="7"/>
        <v>4.8935838143555906E-2</v>
      </c>
      <c r="H94" s="73">
        <f t="shared" si="8"/>
        <v>9.9603791285915335</v>
      </c>
      <c r="I94" s="73">
        <f t="shared" si="5"/>
        <v>10.460379128591534</v>
      </c>
      <c r="J94" s="73">
        <f t="shared" si="9"/>
        <v>1.6348258990423477E-2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12.090960000000001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10.343682738973492</v>
      </c>
      <c r="G95" s="73">
        <f t="shared" si="7"/>
        <v>3.773205560321536E-2</v>
      </c>
      <c r="H95" s="73">
        <f t="shared" si="8"/>
        <v>12.643229767290901</v>
      </c>
      <c r="I95" s="73">
        <f t="shared" si="5"/>
        <v>13.143229767290901</v>
      </c>
      <c r="J95" s="73">
        <f t="shared" si="9"/>
        <v>9.9305381232525879E-3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12.101039999999999</v>
      </c>
      <c r="U95" s="28">
        <f>$X$39</f>
        <v>5.8356676003734828E-2</v>
      </c>
    </row>
    <row r="96" spans="5:21" ht="15" x14ac:dyDescent="0.2">
      <c r="E96" s="72">
        <v>1.6000000000000101</v>
      </c>
      <c r="F96" s="73">
        <f t="shared" si="6"/>
        <v>11.137318088238608</v>
      </c>
      <c r="G96" s="73">
        <f t="shared" si="7"/>
        <v>2.7952594294637565E-2</v>
      </c>
      <c r="H96" s="73">
        <f t="shared" si="8"/>
        <v>16.048712291448172</v>
      </c>
      <c r="I96" s="73">
        <f t="shared" si="5"/>
        <v>16.548712291448172</v>
      </c>
      <c r="J96" s="73">
        <f t="shared" si="9"/>
        <v>5.7956516948940466E-3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12.59496</v>
      </c>
      <c r="U96" s="28">
        <f>$X$39</f>
        <v>5.8356676003734828E-2</v>
      </c>
    </row>
    <row r="97" spans="5:21" ht="15" x14ac:dyDescent="0.2">
      <c r="E97" s="72">
        <v>1.80000000000001</v>
      </c>
      <c r="F97" s="73">
        <f t="shared" si="6"/>
        <v>11.930953437503723</v>
      </c>
      <c r="G97" s="73">
        <f t="shared" si="7"/>
        <v>1.9895827063146434E-2</v>
      </c>
      <c r="H97" s="73">
        <f t="shared" si="8"/>
        <v>20.371469233281839</v>
      </c>
      <c r="I97" s="73">
        <f t="shared" si="5"/>
        <v>20.871469233281839</v>
      </c>
      <c r="J97" s="73">
        <f t="shared" si="9"/>
        <v>3.2498251306897737E-3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12.605039999999999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12.724588786768837</v>
      </c>
      <c r="G98" s="73">
        <f t="shared" si="7"/>
        <v>1.3605988332848614E-2</v>
      </c>
      <c r="H98" s="73">
        <f t="shared" si="8"/>
        <v>25.858570531150114</v>
      </c>
      <c r="I98" s="73">
        <f t="shared" si="5"/>
        <v>26.358570531150114</v>
      </c>
      <c r="J98" s="73">
        <f t="shared" si="9"/>
        <v>1.7508378578985583E-3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13.518224136033952</v>
      </c>
      <c r="G99" s="73">
        <f t="shared" si="7"/>
        <v>8.9397713645389364E-3</v>
      </c>
      <c r="H99" s="73">
        <f t="shared" si="8"/>
        <v>32.823634969933053</v>
      </c>
      <c r="I99" s="73">
        <f t="shared" si="5"/>
        <v>33.323634969933053</v>
      </c>
      <c r="J99" s="73">
        <f t="shared" si="9"/>
        <v>9.062751782063543E-4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14.311859485299067</v>
      </c>
      <c r="G100" s="73">
        <f t="shared" si="7"/>
        <v>5.6435314570045516E-3</v>
      </c>
      <c r="H100" s="73">
        <f t="shared" si="8"/>
        <v>41.66475526331012</v>
      </c>
      <c r="I100" s="73">
        <f t="shared" si="5"/>
        <v>42.16475526331012</v>
      </c>
      <c r="J100" s="73">
        <f t="shared" si="9"/>
        <v>4.5071546796632224E-4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15.105494834564182</v>
      </c>
      <c r="G101" s="73">
        <f t="shared" si="7"/>
        <v>3.4229748577259658E-3</v>
      </c>
      <c r="H101" s="73">
        <f t="shared" si="8"/>
        <v>52.887251297477732</v>
      </c>
      <c r="I101" s="73">
        <f t="shared" si="5"/>
        <v>53.387251297477732</v>
      </c>
      <c r="J101" s="73">
        <f t="shared" si="9"/>
        <v>2.1536397620076187E-4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15.899130183829298</v>
      </c>
      <c r="G102" s="73">
        <f t="shared" si="7"/>
        <v>1.9947326162599076E-3</v>
      </c>
      <c r="H102" s="73">
        <f t="shared" si="8"/>
        <v>67.132552012507446</v>
      </c>
      <c r="I102" s="73">
        <f t="shared" si="5"/>
        <v>67.632552012507446</v>
      </c>
      <c r="J102" s="73">
        <f t="shared" si="9"/>
        <v>9.8871672278328027E-5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16.692765533094413</v>
      </c>
      <c r="G103" s="73">
        <f t="shared" si="7"/>
        <v>1.1168475335786507E-3</v>
      </c>
      <c r="H103" s="73">
        <f t="shared" si="8"/>
        <v>85.214856683749701</v>
      </c>
      <c r="I103" s="73">
        <f t="shared" si="5"/>
        <v>85.714856683749701</v>
      </c>
      <c r="J103" s="73">
        <f t="shared" si="9"/>
        <v>4.3611288614739238E-5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17.486400882359526</v>
      </c>
      <c r="G104" s="73">
        <f t="shared" si="7"/>
        <v>6.0080191832996652E-4</v>
      </c>
      <c r="H104" s="73">
        <f t="shared" si="8"/>
        <v>108.1676710022746</v>
      </c>
      <c r="I104" s="73">
        <f t="shared" si="5"/>
        <v>108.6676710022746</v>
      </c>
      <c r="J104" s="73">
        <f t="shared" si="9"/>
        <v>1.8482221876029973E-5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18.280036231624642</v>
      </c>
      <c r="G105" s="73">
        <f t="shared" si="7"/>
        <v>3.1052527325401498E-4</v>
      </c>
      <c r="H105" s="73">
        <f t="shared" si="8"/>
        <v>137.30287775379833</v>
      </c>
      <c r="I105" s="73">
        <f t="shared" si="5"/>
        <v>137.80287775379833</v>
      </c>
      <c r="J105" s="73">
        <f t="shared" si="9"/>
        <v>7.5255398635168541E-6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19.073671580889759</v>
      </c>
      <c r="G106" s="73">
        <f t="shared" si="7"/>
        <v>1.5420228715375505E-4</v>
      </c>
      <c r="H106" s="73">
        <f t="shared" si="8"/>
        <v>174.28571831853583</v>
      </c>
      <c r="I106" s="73">
        <f t="shared" si="5"/>
        <v>174.78571831853583</v>
      </c>
      <c r="J106" s="73">
        <f t="shared" si="9"/>
        <v>2.9440783414809999E-6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19.867306930154871</v>
      </c>
      <c r="G107" s="73">
        <f t="shared" si="7"/>
        <v>7.3572057006226894E-5</v>
      </c>
      <c r="H107" s="73">
        <f t="shared" si="8"/>
        <v>221.22997060757316</v>
      </c>
      <c r="I107" s="73">
        <f t="shared" si="5"/>
        <v>221.72997060757316</v>
      </c>
      <c r="J107" s="73">
        <f t="shared" si="9"/>
        <v>1.1065964809473086E-6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20.660942279419984</v>
      </c>
      <c r="G108" s="73">
        <f t="shared" si="7"/>
        <v>3.3725873195744951E-5</v>
      </c>
      <c r="H108" s="73">
        <f t="shared" si="8"/>
        <v>280.81876339159817</v>
      </c>
      <c r="I108" s="73">
        <f t="shared" si="5"/>
        <v>281.31876339159817</v>
      </c>
      <c r="J108" s="73">
        <f t="shared" si="9"/>
        <v>3.9962939724547594E-7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21.454577628685101</v>
      </c>
      <c r="G109" s="73">
        <f t="shared" si="7"/>
        <v>1.4853942131261452E-5</v>
      </c>
      <c r="H109" s="73">
        <f t="shared" si="8"/>
        <v>356.45793224223735</v>
      </c>
      <c r="I109" s="73">
        <f t="shared" si="5"/>
        <v>356.95793224223735</v>
      </c>
      <c r="J109" s="73">
        <f t="shared" si="9"/>
        <v>1.3866082885412297E-7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22.248212977950217</v>
      </c>
      <c r="G110" s="73">
        <f t="shared" si="7"/>
        <v>6.2856250828919169E-6</v>
      </c>
      <c r="H110" s="73">
        <f t="shared" si="8"/>
        <v>452.47068224292684</v>
      </c>
      <c r="I110" s="73">
        <f t="shared" si="5"/>
        <v>452.97068224292684</v>
      </c>
      <c r="J110" s="73">
        <f t="shared" si="9"/>
        <v>4.6225155046880949E-8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23.041848327215334</v>
      </c>
      <c r="G111" s="73">
        <f t="shared" si="7"/>
        <v>2.5555444512083319E-6</v>
      </c>
      <c r="H111" s="73">
        <f t="shared" si="8"/>
        <v>574.34468354109151</v>
      </c>
      <c r="I111" s="73">
        <f t="shared" si="5"/>
        <v>574.84468354109151</v>
      </c>
      <c r="J111" s="73">
        <f t="shared" si="9"/>
        <v>1.4805776250059121E-8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23.835483676480447</v>
      </c>
      <c r="G112" s="73">
        <f t="shared" si="7"/>
        <v>9.9826679713799266E-7</v>
      </c>
      <c r="H112" s="73">
        <f t="shared" si="8"/>
        <v>729.0457226459846</v>
      </c>
      <c r="I112" s="73">
        <f t="shared" si="5"/>
        <v>729.5457226459846</v>
      </c>
      <c r="J112" s="73">
        <f t="shared" si="9"/>
        <v>4.5562989132809593E-9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24.629119025745521</v>
      </c>
      <c r="G113" s="73">
        <f t="shared" si="7"/>
        <v>3.7466060858074435E-7</v>
      </c>
      <c r="H113" s="73">
        <f t="shared" si="8"/>
        <v>925.4158364127577</v>
      </c>
      <c r="I113" s="73">
        <f t="shared" si="5"/>
        <v>925.9158364127577</v>
      </c>
      <c r="J113" s="73">
        <f t="shared" si="9"/>
        <v>1.3471670586479964E-9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-0.28521003643871518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28.295735484556701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-6.0338892691050782E-4</v>
      </c>
      <c r="H120" s="69" t="s">
        <v>50</v>
      </c>
      <c r="I120" s="79">
        <f>IF($B$9&gt;3,INDEX(XX!$C$4:$C$150,$B$9))</f>
        <v>0.23350000000000001</v>
      </c>
      <c r="J120" s="79">
        <f>IF($B$9&gt;3,INDEX(XX!$D$4:$D$150,$B$9))</f>
        <v>0.30380000000000001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</v>
      </c>
      <c r="H122" s="11"/>
      <c r="I122" s="79">
        <f>IF((ABS($G$118)&gt;$I$120)*AND(ABS($G$118)&lt;$J$120),G$119+G$120*G122,0)</f>
        <v>28.295132095629789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42341</v>
      </c>
      <c r="H123" s="11"/>
      <c r="I123" s="79">
        <f>IF((ABS($G$118)&gt;$I$120)*AND(ABS($G$118)&lt;$J$120),G$119+G$120*G123,0)</f>
        <v>2.7476449302388879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N22" sqref="N22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141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35878</v>
      </c>
      <c r="N3" s="57">
        <v>4</v>
      </c>
      <c r="O3" s="58">
        <f t="shared" ref="O3:O66" si="0">IF($N3&gt;0,LN($N3+$B$26))</f>
        <v>1.3862943611198906</v>
      </c>
      <c r="T3" s="69" t="s">
        <v>109</v>
      </c>
      <c r="U3" s="82">
        <f>$B$21</f>
        <v>41.240021847236882</v>
      </c>
      <c r="V3" s="82">
        <f t="shared" ref="V3:V10" si="1">U3</f>
        <v>41.240021847236882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35977</v>
      </c>
      <c r="N4" s="57">
        <v>8</v>
      </c>
      <c r="O4" s="58">
        <f t="shared" si="0"/>
        <v>2.0794415416798357</v>
      </c>
      <c r="T4" s="69" t="s">
        <v>111</v>
      </c>
      <c r="U4" s="82">
        <f>$B$31</f>
        <v>29.02601208006778</v>
      </c>
      <c r="V4" s="82">
        <f t="shared" si="1"/>
        <v>29.02601208006778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36067</v>
      </c>
      <c r="N5" s="57">
        <v>6</v>
      </c>
      <c r="O5" s="58">
        <f t="shared" si="0"/>
        <v>1.791759469228055</v>
      </c>
      <c r="T5" s="69" t="s">
        <v>110</v>
      </c>
      <c r="U5" s="82">
        <f>$B$22</f>
        <v>46.883423611217246</v>
      </c>
      <c r="V5" s="82">
        <f t="shared" si="1"/>
        <v>46.883423611217246</v>
      </c>
    </row>
    <row r="6" spans="1:24" ht="15" customHeight="1" x14ac:dyDescent="0.25">
      <c r="A6" s="107" t="s">
        <v>18</v>
      </c>
      <c r="B6" s="116">
        <v>14</v>
      </c>
      <c r="C6" s="18"/>
      <c r="M6" s="56">
        <v>36130</v>
      </c>
      <c r="N6" s="57">
        <v>6</v>
      </c>
      <c r="O6" s="58">
        <f t="shared" si="0"/>
        <v>1.791759469228055</v>
      </c>
      <c r="T6" s="69" t="s">
        <v>29</v>
      </c>
      <c r="U6" s="82">
        <f>$B$32</f>
        <v>40.872070629783295</v>
      </c>
      <c r="V6" s="82">
        <f t="shared" si="1"/>
        <v>40.872070629783295</v>
      </c>
    </row>
    <row r="7" spans="1:24" ht="15" customHeight="1" x14ac:dyDescent="0.2">
      <c r="D7" s="4"/>
      <c r="F7" s="5"/>
      <c r="M7" s="56">
        <v>36241</v>
      </c>
      <c r="N7" s="57">
        <v>7</v>
      </c>
      <c r="O7" s="58">
        <f t="shared" si="0"/>
        <v>1.9459101490553132</v>
      </c>
      <c r="T7" s="69" t="s">
        <v>31</v>
      </c>
      <c r="U7" s="82">
        <f>$C$21</f>
        <v>-19.138529309923449</v>
      </c>
      <c r="V7" s="82">
        <f t="shared" si="1"/>
        <v>-19.138529309923449</v>
      </c>
    </row>
    <row r="8" spans="1:24" ht="15" customHeight="1" x14ac:dyDescent="0.25">
      <c r="A8" s="140" t="s">
        <v>12</v>
      </c>
      <c r="B8" s="140"/>
      <c r="C8" s="140"/>
      <c r="D8" s="4"/>
      <c r="M8" s="56">
        <v>36305</v>
      </c>
      <c r="N8" s="57">
        <v>8</v>
      </c>
      <c r="O8" s="58">
        <f t="shared" si="0"/>
        <v>2.0794415416798357</v>
      </c>
      <c r="T8" s="69" t="s">
        <v>32</v>
      </c>
      <c r="U8" s="82">
        <f>$C$31</f>
        <v>0.35087884751487031</v>
      </c>
      <c r="V8" s="82">
        <f t="shared" si="1"/>
        <v>0.35087884751487031</v>
      </c>
    </row>
    <row r="9" spans="1:24" ht="15" customHeight="1" x14ac:dyDescent="0.2">
      <c r="A9" s="101" t="s">
        <v>11</v>
      </c>
      <c r="B9" s="59">
        <f>COUNT($M$3:$M252)</f>
        <v>67</v>
      </c>
      <c r="C9" s="60"/>
      <c r="D9" s="4"/>
      <c r="M9" s="56">
        <v>36474</v>
      </c>
      <c r="N9" s="57">
        <v>37</v>
      </c>
      <c r="O9" s="58">
        <f t="shared" si="0"/>
        <v>3.6109179126442243</v>
      </c>
      <c r="T9" s="69" t="s">
        <v>112</v>
      </c>
      <c r="U9" s="82">
        <f>$C$22</f>
        <v>-24.781931073903813</v>
      </c>
      <c r="V9" s="82">
        <f t="shared" si="1"/>
        <v>-24.781931073903813</v>
      </c>
    </row>
    <row r="10" spans="1:24" ht="15" customHeight="1" x14ac:dyDescent="0.2">
      <c r="A10" s="102" t="s">
        <v>7</v>
      </c>
      <c r="B10" s="61">
        <f>MIN($N$3:$N$252)</f>
        <v>1</v>
      </c>
      <c r="C10" s="60"/>
      <c r="D10" s="4"/>
      <c r="M10" s="56">
        <v>36585</v>
      </c>
      <c r="N10" s="57">
        <v>10</v>
      </c>
      <c r="O10" s="58">
        <f t="shared" si="0"/>
        <v>2.3025850929940459</v>
      </c>
      <c r="T10" s="69" t="s">
        <v>113</v>
      </c>
      <c r="U10" s="82">
        <f>$C$32</f>
        <v>4.4207278252340165E-2</v>
      </c>
      <c r="V10" s="82">
        <f t="shared" si="1"/>
        <v>4.4207278252340165E-2</v>
      </c>
    </row>
    <row r="11" spans="1:24" ht="15" customHeight="1" x14ac:dyDescent="0.2">
      <c r="A11" s="102" t="s">
        <v>8</v>
      </c>
      <c r="B11" s="61">
        <f>MAX($N$3:$N$252)</f>
        <v>110</v>
      </c>
      <c r="C11" s="60"/>
      <c r="D11" s="4"/>
      <c r="M11" s="56">
        <v>36692</v>
      </c>
      <c r="N11" s="57">
        <v>10</v>
      </c>
      <c r="O11" s="58">
        <f t="shared" si="0"/>
        <v>2.3025850929940459</v>
      </c>
      <c r="T11" s="69" t="s">
        <v>68</v>
      </c>
      <c r="U11" s="82">
        <f>$B$12</f>
        <v>8</v>
      </c>
      <c r="V11" s="82">
        <f>U11</f>
        <v>8</v>
      </c>
    </row>
    <row r="12" spans="1:24" ht="15" customHeight="1" x14ac:dyDescent="0.2">
      <c r="A12" s="102" t="s">
        <v>68</v>
      </c>
      <c r="B12" s="62">
        <f>MEDIAN($N$3:$N$252)</f>
        <v>8</v>
      </c>
      <c r="C12" s="50"/>
      <c r="D12" s="4"/>
      <c r="M12" s="56">
        <v>36781</v>
      </c>
      <c r="N12" s="57">
        <v>10</v>
      </c>
      <c r="O12" s="58">
        <f t="shared" si="0"/>
        <v>2.3025850929940459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36857</v>
      </c>
      <c r="N13" s="57">
        <v>10</v>
      </c>
      <c r="O13" s="58">
        <f t="shared" si="0"/>
        <v>2.3025850929940459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36979</v>
      </c>
      <c r="N14" s="57">
        <v>10</v>
      </c>
      <c r="O14" s="58">
        <f t="shared" si="0"/>
        <v>2.3025850929940459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37053</v>
      </c>
      <c r="N15" s="57">
        <v>47</v>
      </c>
      <c r="O15" s="58">
        <f t="shared" si="0"/>
        <v>3.8501476017100584</v>
      </c>
      <c r="T15" s="69">
        <v>1</v>
      </c>
      <c r="U15" s="77">
        <f t="shared" ref="U15:U39" si="3">$B$36+T15*$B$38</f>
        <v>4.62</v>
      </c>
      <c r="V15" s="84">
        <f>FREQUENCY($N$3:$N$252,$U$15:$U$39)</f>
        <v>16</v>
      </c>
      <c r="W15" s="79">
        <f t="shared" ref="W15:W39" si="4">(U15+U14)/2</f>
        <v>2.31</v>
      </c>
      <c r="X15" s="80">
        <f t="shared" si="2"/>
        <v>5.1689603928409898E-2</v>
      </c>
    </row>
    <row r="16" spans="1:24" ht="15" customHeight="1" x14ac:dyDescent="0.2">
      <c r="A16" s="101" t="s">
        <v>73</v>
      </c>
      <c r="B16" s="63">
        <f>AVERAGE($N$3:$N$252)</f>
        <v>11.050746268656718</v>
      </c>
      <c r="C16" s="60"/>
      <c r="M16" s="56">
        <v>37145</v>
      </c>
      <c r="N16" s="57">
        <v>14</v>
      </c>
      <c r="O16" s="58">
        <f t="shared" si="0"/>
        <v>2.6390573296152584</v>
      </c>
      <c r="T16" s="69">
        <v>2</v>
      </c>
      <c r="U16" s="77">
        <f t="shared" si="3"/>
        <v>9.24</v>
      </c>
      <c r="V16" s="84">
        <f t="array" ref="V16:V40">FREQUENCY($N$3:$N$252,$U$15:$U$39)</f>
        <v>16</v>
      </c>
      <c r="W16" s="79">
        <f t="shared" si="4"/>
        <v>6.93</v>
      </c>
      <c r="X16" s="80">
        <f t="shared" si="2"/>
        <v>5.1689603928409898E-2</v>
      </c>
    </row>
    <row r="17" spans="1:24" ht="15" customHeight="1" x14ac:dyDescent="0.2">
      <c r="A17" s="102" t="s">
        <v>75</v>
      </c>
      <c r="B17" s="62">
        <f>STDEV($N$3:$N$252)</f>
        <v>15.40297465499842</v>
      </c>
      <c r="C17" s="60"/>
      <c r="D17" s="4"/>
      <c r="M17" s="56">
        <v>37224</v>
      </c>
      <c r="N17" s="57">
        <v>10</v>
      </c>
      <c r="O17" s="58">
        <f t="shared" si="0"/>
        <v>2.3025850929940459</v>
      </c>
      <c r="T17" s="69">
        <v>3</v>
      </c>
      <c r="U17" s="77">
        <f t="shared" si="3"/>
        <v>13.86</v>
      </c>
      <c r="V17" s="84">
        <v>22</v>
      </c>
      <c r="W17" s="79">
        <f t="shared" si="4"/>
        <v>11.55</v>
      </c>
      <c r="X17" s="80">
        <f t="shared" si="2"/>
        <v>7.1073205401563616E-2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0.20757635937122146</v>
      </c>
      <c r="C18" s="114" t="s">
        <v>45</v>
      </c>
      <c r="D18" s="4"/>
      <c r="J18" s="6"/>
      <c r="M18" s="56">
        <v>37306</v>
      </c>
      <c r="N18" s="57">
        <v>10</v>
      </c>
      <c r="O18" s="58">
        <f t="shared" si="0"/>
        <v>2.3025850929940459</v>
      </c>
      <c r="T18" s="69">
        <v>4</v>
      </c>
      <c r="U18" s="77">
        <f t="shared" si="3"/>
        <v>18.48</v>
      </c>
      <c r="V18" s="84">
        <v>18</v>
      </c>
      <c r="W18" s="79">
        <f t="shared" si="4"/>
        <v>16.170000000000002</v>
      </c>
      <c r="X18" s="80">
        <f t="shared" si="2"/>
        <v>5.8150804419461133E-2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37418</v>
      </c>
      <c r="N19" s="57">
        <v>10</v>
      </c>
      <c r="O19" s="58">
        <f t="shared" si="0"/>
        <v>2.3025850929940459</v>
      </c>
      <c r="T19" s="69">
        <v>5</v>
      </c>
      <c r="U19" s="77">
        <f t="shared" si="3"/>
        <v>23.1</v>
      </c>
      <c r="V19" s="84">
        <v>5</v>
      </c>
      <c r="W19" s="79">
        <f t="shared" si="4"/>
        <v>20.79</v>
      </c>
      <c r="X19" s="80">
        <f t="shared" si="2"/>
        <v>1.6153001227628094E-2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37494</v>
      </c>
      <c r="N20" s="57">
        <v>10</v>
      </c>
      <c r="O20" s="58">
        <f t="shared" si="0"/>
        <v>2.3025850929940459</v>
      </c>
      <c r="T20" s="69">
        <v>6</v>
      </c>
      <c r="U20" s="77">
        <f t="shared" si="3"/>
        <v>27.72</v>
      </c>
      <c r="V20" s="84">
        <v>2</v>
      </c>
      <c r="W20" s="79">
        <f t="shared" si="4"/>
        <v>25.41</v>
      </c>
      <c r="X20" s="80">
        <f t="shared" si="2"/>
        <v>6.4612004910512373E-3</v>
      </c>
    </row>
    <row r="21" spans="1:24" ht="15" customHeight="1" x14ac:dyDescent="0.2">
      <c r="A21" s="103" t="s">
        <v>76</v>
      </c>
      <c r="B21" s="62">
        <f>NORMINV(0.975,$B$16,$B$17)</f>
        <v>41.240021847236882</v>
      </c>
      <c r="C21" s="62">
        <f>NORMINV(0.025,$B$16,$B$17)</f>
        <v>-19.138529309923449</v>
      </c>
      <c r="D21" s="4"/>
      <c r="M21" s="56">
        <v>37557</v>
      </c>
      <c r="N21" s="57">
        <v>10</v>
      </c>
      <c r="O21" s="58">
        <f t="shared" si="0"/>
        <v>2.3025850929940459</v>
      </c>
      <c r="T21" s="69">
        <v>7</v>
      </c>
      <c r="U21" s="77">
        <f t="shared" si="3"/>
        <v>32.340000000000003</v>
      </c>
      <c r="V21" s="84">
        <v>0</v>
      </c>
      <c r="W21" s="79">
        <f t="shared" si="4"/>
        <v>30.03</v>
      </c>
      <c r="X21" s="80">
        <f t="shared" si="2"/>
        <v>0</v>
      </c>
    </row>
    <row r="22" spans="1:24" ht="15" customHeight="1" x14ac:dyDescent="0.2">
      <c r="A22" s="104" t="s">
        <v>77</v>
      </c>
      <c r="B22" s="62">
        <f>NORMINV(0.99,$B$16,$B$17)</f>
        <v>46.883423611217246</v>
      </c>
      <c r="C22" s="62">
        <f>NORMINV(0.01,B16,B17)</f>
        <v>-24.781931073903813</v>
      </c>
      <c r="M22" s="56">
        <v>37663</v>
      </c>
      <c r="N22" s="57">
        <v>10</v>
      </c>
      <c r="O22" s="58">
        <f t="shared" si="0"/>
        <v>2.3025850929940459</v>
      </c>
      <c r="T22" s="69">
        <v>8</v>
      </c>
      <c r="U22" s="77">
        <f t="shared" si="3"/>
        <v>36.96</v>
      </c>
      <c r="V22" s="84">
        <v>0</v>
      </c>
      <c r="W22" s="79">
        <f t="shared" si="4"/>
        <v>34.650000000000006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53.883423611217246</v>
      </c>
      <c r="E23" s="144" t="s">
        <v>80</v>
      </c>
      <c r="F23" s="144"/>
      <c r="G23" s="144"/>
      <c r="M23" s="56">
        <v>37774</v>
      </c>
      <c r="N23" s="57">
        <v>23</v>
      </c>
      <c r="O23" s="58">
        <f t="shared" si="0"/>
        <v>3.1354942159291497</v>
      </c>
      <c r="T23" s="69">
        <v>9</v>
      </c>
      <c r="U23" s="77">
        <f t="shared" si="3"/>
        <v>41.58</v>
      </c>
      <c r="V23" s="84">
        <v>0</v>
      </c>
      <c r="W23" s="79">
        <f t="shared" si="4"/>
        <v>39.269999999999996</v>
      </c>
      <c r="X23" s="80">
        <f t="shared" si="2"/>
        <v>0</v>
      </c>
    </row>
    <row r="24" spans="1:24" ht="15" customHeight="1" x14ac:dyDescent="0.2">
      <c r="M24" s="56">
        <v>37868</v>
      </c>
      <c r="N24" s="57">
        <v>10</v>
      </c>
      <c r="O24" s="58">
        <f t="shared" si="0"/>
        <v>2.3025850929940459</v>
      </c>
      <c r="T24" s="69">
        <v>10</v>
      </c>
      <c r="U24" s="77">
        <f t="shared" si="3"/>
        <v>46.2</v>
      </c>
      <c r="V24" s="84">
        <v>1</v>
      </c>
      <c r="W24" s="79">
        <f t="shared" si="4"/>
        <v>43.89</v>
      </c>
      <c r="X24" s="80">
        <f t="shared" si="2"/>
        <v>3.2306002455256186E-3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37952</v>
      </c>
      <c r="N25" s="57">
        <v>11</v>
      </c>
      <c r="O25" s="58">
        <f t="shared" si="0"/>
        <v>2.3978952727983707</v>
      </c>
      <c r="Q25" s="75" t="s">
        <v>68</v>
      </c>
      <c r="R25" s="75">
        <f>MEDIAN($O$3:$O$252)</f>
        <v>2.0794415416798357</v>
      </c>
      <c r="T25" s="69">
        <v>11</v>
      </c>
      <c r="U25" s="77">
        <f t="shared" si="3"/>
        <v>50.82</v>
      </c>
      <c r="V25" s="84">
        <v>0</v>
      </c>
      <c r="W25" s="79">
        <f t="shared" si="4"/>
        <v>48.510000000000005</v>
      </c>
      <c r="X25" s="80">
        <f t="shared" si="2"/>
        <v>0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38034</v>
      </c>
      <c r="N26" s="57">
        <v>13</v>
      </c>
      <c r="O26" s="58">
        <f t="shared" si="0"/>
        <v>2.5649493574615367</v>
      </c>
      <c r="Q26" s="75" t="s">
        <v>73</v>
      </c>
      <c r="R26" s="75">
        <f>AVERAGE($O$3:$O$252)</f>
        <v>1.9914128558630966</v>
      </c>
      <c r="T26" s="69">
        <v>12</v>
      </c>
      <c r="U26" s="77">
        <f t="shared" si="3"/>
        <v>55.44</v>
      </c>
      <c r="V26" s="84">
        <v>1</v>
      </c>
      <c r="W26" s="79">
        <f t="shared" si="4"/>
        <v>53.129999999999995</v>
      </c>
      <c r="X26" s="80">
        <f t="shared" si="2"/>
        <v>3.2306002455256186E-3</v>
      </c>
    </row>
    <row r="27" spans="1:24" ht="15" customHeight="1" x14ac:dyDescent="0.2">
      <c r="A27" s="65" t="s">
        <v>17</v>
      </c>
      <c r="B27" s="62">
        <f>EXP($R$26)</f>
        <v>7.3258768620113131</v>
      </c>
      <c r="C27" s="62"/>
      <c r="E27" s="7" t="e">
        <f>STDEV(C50:C199)</f>
        <v>#DIV/0!</v>
      </c>
      <c r="F27" s="7" t="e">
        <f>NORMINV(0.025,$E26,$E27)</f>
        <v>#DIV/0!</v>
      </c>
      <c r="M27" s="56">
        <v>38154</v>
      </c>
      <c r="N27" s="57">
        <v>17</v>
      </c>
      <c r="O27" s="58">
        <f t="shared" si="0"/>
        <v>2.8332133440562162</v>
      </c>
      <c r="Q27" s="75" t="s">
        <v>104</v>
      </c>
      <c r="R27" s="75">
        <f>STDEV($O$3:$O$252)</f>
        <v>0.83702252760180773</v>
      </c>
      <c r="T27" s="69">
        <v>13</v>
      </c>
      <c r="U27" s="77">
        <f t="shared" si="3"/>
        <v>60.06</v>
      </c>
      <c r="V27" s="84">
        <v>1</v>
      </c>
      <c r="W27" s="79">
        <f t="shared" si="4"/>
        <v>57.75</v>
      </c>
      <c r="X27" s="80">
        <f t="shared" si="2"/>
        <v>3.2306002455256186E-3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-0.11022077853731115</v>
      </c>
      <c r="C28" s="115" t="s">
        <v>45</v>
      </c>
      <c r="F28" s="7" t="e">
        <f>NORMINV(0.01,$E$26,$E$27)</f>
        <v>#DIV/0!</v>
      </c>
      <c r="M28" s="56">
        <v>38222</v>
      </c>
      <c r="N28" s="57">
        <v>14</v>
      </c>
      <c r="O28" s="58">
        <f t="shared" si="0"/>
        <v>2.6390573296152584</v>
      </c>
      <c r="Q28" s="75" t="s">
        <v>108</v>
      </c>
      <c r="R28" s="75">
        <f>NORMINV(0.025,$R$26,$R$27)</f>
        <v>0.35087884751487031</v>
      </c>
      <c r="T28" s="69">
        <v>14</v>
      </c>
      <c r="U28" s="77">
        <f t="shared" si="3"/>
        <v>64.680000000000007</v>
      </c>
      <c r="V28" s="84">
        <v>0</v>
      </c>
      <c r="W28" s="79">
        <f t="shared" si="4"/>
        <v>62.370000000000005</v>
      </c>
      <c r="X28" s="80">
        <f t="shared" si="2"/>
        <v>0</v>
      </c>
    </row>
    <row r="29" spans="1:24" ht="15" customHeight="1" x14ac:dyDescent="0.2">
      <c r="A29" s="65" t="s">
        <v>25</v>
      </c>
      <c r="B29" s="24" t="str">
        <f>IF(ABS(($R26-$R$25)/$R$26)&lt;=0.1,"gut",IF(ABS(($R$26-$R$25)/$R$26)&lt;=0.2,"mäßig","schlecht"))</f>
        <v>gut</v>
      </c>
      <c r="C29" s="62"/>
      <c r="M29" s="56">
        <v>38302</v>
      </c>
      <c r="N29" s="57">
        <v>10</v>
      </c>
      <c r="O29" s="58">
        <f t="shared" si="0"/>
        <v>2.3025850929940459</v>
      </c>
      <c r="Q29" s="75" t="s">
        <v>107</v>
      </c>
      <c r="R29" s="75">
        <f>NORMINV(0.01,$R$26,$R$27)</f>
        <v>4.4207278252340165E-2</v>
      </c>
      <c r="T29" s="69">
        <v>15</v>
      </c>
      <c r="U29" s="77">
        <f t="shared" si="3"/>
        <v>69.3</v>
      </c>
      <c r="V29" s="84">
        <v>0</v>
      </c>
      <c r="W29" s="79">
        <f t="shared" si="4"/>
        <v>66.990000000000009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38378</v>
      </c>
      <c r="N30" s="57">
        <v>3</v>
      </c>
      <c r="O30" s="58">
        <f t="shared" si="0"/>
        <v>1.0986122886681098</v>
      </c>
      <c r="Q30" s="75" t="s">
        <v>105</v>
      </c>
      <c r="R30" s="75">
        <f>NORMINV(0.95,$R$26,$R$27)</f>
        <v>3.3681923962290181</v>
      </c>
      <c r="T30" s="69">
        <v>16</v>
      </c>
      <c r="U30" s="77">
        <f t="shared" si="3"/>
        <v>73.92</v>
      </c>
      <c r="V30" s="84">
        <v>0</v>
      </c>
      <c r="W30" s="79">
        <f t="shared" si="4"/>
        <v>71.61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29.02601208006778</v>
      </c>
      <c r="C31" s="62">
        <f>NORMINV(0.025,$R$26,$R$27)</f>
        <v>0.35087884751487031</v>
      </c>
      <c r="E31" s="7" t="e">
        <f>NORMINV(0.98,$E$26,$E$27)</f>
        <v>#DIV/0!</v>
      </c>
      <c r="M31" s="56">
        <v>38489</v>
      </c>
      <c r="N31" s="57">
        <v>9</v>
      </c>
      <c r="O31" s="58">
        <f t="shared" si="0"/>
        <v>2.1972245773362196</v>
      </c>
      <c r="Q31" s="75" t="s">
        <v>106</v>
      </c>
      <c r="R31" s="75">
        <f>NORMINV(0.98,$R$26,$R$27)</f>
        <v>3.7104469600996035</v>
      </c>
      <c r="T31" s="69">
        <v>17</v>
      </c>
      <c r="U31" s="77">
        <f t="shared" si="3"/>
        <v>78.540000000000006</v>
      </c>
      <c r="V31" s="84">
        <v>0</v>
      </c>
      <c r="W31" s="79">
        <f t="shared" si="4"/>
        <v>76.23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40.872070629783295</v>
      </c>
      <c r="C32" s="62">
        <f>NORMINV(0.01,$R$26,$R$27)</f>
        <v>4.4207278252340165E-2</v>
      </c>
      <c r="M32" s="56">
        <v>38575</v>
      </c>
      <c r="N32" s="57">
        <v>5</v>
      </c>
      <c r="O32" s="58">
        <f t="shared" si="0"/>
        <v>1.6094379124341003</v>
      </c>
      <c r="T32" s="69">
        <v>18</v>
      </c>
      <c r="U32" s="77">
        <f t="shared" si="3"/>
        <v>83.16</v>
      </c>
      <c r="V32" s="84">
        <v>0</v>
      </c>
      <c r="W32" s="79">
        <f t="shared" si="4"/>
        <v>80.849999999999994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47.872070629783295</v>
      </c>
      <c r="M33" s="56">
        <v>38663</v>
      </c>
      <c r="N33" s="57">
        <v>4</v>
      </c>
      <c r="O33" s="58">
        <f t="shared" si="0"/>
        <v>1.3862943611198906</v>
      </c>
      <c r="T33" s="69">
        <v>19</v>
      </c>
      <c r="U33" s="77">
        <f t="shared" si="3"/>
        <v>87.78</v>
      </c>
      <c r="V33" s="84">
        <v>0</v>
      </c>
      <c r="W33" s="79">
        <f t="shared" si="4"/>
        <v>85.47</v>
      </c>
      <c r="X33" s="80">
        <f t="shared" si="2"/>
        <v>0</v>
      </c>
    </row>
    <row r="34" spans="1:24" ht="15" customHeight="1" x14ac:dyDescent="0.2">
      <c r="M34" s="56">
        <v>38777</v>
      </c>
      <c r="N34" s="57">
        <v>7</v>
      </c>
      <c r="O34" s="58">
        <f t="shared" si="0"/>
        <v>1.9459101490553132</v>
      </c>
      <c r="T34" s="69">
        <v>20</v>
      </c>
      <c r="U34" s="77">
        <f t="shared" si="3"/>
        <v>92.4</v>
      </c>
      <c r="V34" s="84">
        <v>0</v>
      </c>
      <c r="W34" s="79">
        <f t="shared" si="4"/>
        <v>90.09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38876</v>
      </c>
      <c r="N35" s="57">
        <v>1</v>
      </c>
      <c r="O35" s="58">
        <f t="shared" si="0"/>
        <v>0</v>
      </c>
      <c r="T35" s="69">
        <v>21</v>
      </c>
      <c r="U35" s="77">
        <f t="shared" si="3"/>
        <v>97.02</v>
      </c>
      <c r="V35" s="84">
        <v>0</v>
      </c>
      <c r="W35" s="79">
        <f t="shared" si="4"/>
        <v>94.710000000000008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38932</v>
      </c>
      <c r="N36" s="57">
        <v>5</v>
      </c>
      <c r="O36" s="58">
        <f t="shared" si="0"/>
        <v>1.6094379124341003</v>
      </c>
      <c r="T36" s="69">
        <v>22</v>
      </c>
      <c r="U36" s="77">
        <f t="shared" si="3"/>
        <v>101.64</v>
      </c>
      <c r="V36" s="84">
        <v>0</v>
      </c>
      <c r="W36" s="79">
        <f t="shared" si="4"/>
        <v>99.33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115.5</v>
      </c>
      <c r="D37" s="8"/>
      <c r="E37" s="8"/>
      <c r="M37" s="56">
        <v>39071</v>
      </c>
      <c r="N37" s="57">
        <v>8</v>
      </c>
      <c r="O37" s="58">
        <f t="shared" si="0"/>
        <v>2.0794415416798357</v>
      </c>
      <c r="T37" s="69">
        <v>23</v>
      </c>
      <c r="U37" s="77">
        <f t="shared" si="3"/>
        <v>106.26</v>
      </c>
      <c r="V37" s="84">
        <v>0</v>
      </c>
      <c r="W37" s="79">
        <f t="shared" si="4"/>
        <v>103.95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4.62</v>
      </c>
      <c r="M38" s="56">
        <v>39126</v>
      </c>
      <c r="N38" s="57">
        <v>2</v>
      </c>
      <c r="O38" s="58">
        <f t="shared" si="0"/>
        <v>0.69314718055994529</v>
      </c>
      <c r="T38" s="69">
        <v>24</v>
      </c>
      <c r="U38" s="77">
        <f t="shared" si="3"/>
        <v>110.88</v>
      </c>
      <c r="V38" s="84">
        <v>0</v>
      </c>
      <c r="W38" s="79">
        <f t="shared" si="4"/>
        <v>108.57</v>
      </c>
      <c r="X38" s="80">
        <f t="shared" si="2"/>
        <v>0</v>
      </c>
    </row>
    <row r="39" spans="1:24" ht="15" x14ac:dyDescent="0.2">
      <c r="M39" s="56">
        <v>39252</v>
      </c>
      <c r="N39" s="57">
        <v>5</v>
      </c>
      <c r="O39" s="58">
        <f t="shared" si="0"/>
        <v>1.6094379124341003</v>
      </c>
      <c r="T39" s="69">
        <v>25</v>
      </c>
      <c r="U39" s="77">
        <f t="shared" si="3"/>
        <v>115.5</v>
      </c>
      <c r="V39" s="84">
        <v>1</v>
      </c>
      <c r="W39" s="79">
        <f t="shared" si="4"/>
        <v>113.19</v>
      </c>
      <c r="X39" s="80">
        <f t="shared" si="2"/>
        <v>3.2306002455256186E-3</v>
      </c>
    </row>
    <row r="40" spans="1:24" ht="15" x14ac:dyDescent="0.2">
      <c r="M40" s="56">
        <v>39329</v>
      </c>
      <c r="N40" s="57">
        <v>17</v>
      </c>
      <c r="O40" s="58">
        <f t="shared" si="0"/>
        <v>2.8332133440562162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39419</v>
      </c>
      <c r="N41" s="57">
        <v>7</v>
      </c>
      <c r="O41" s="58">
        <f t="shared" si="0"/>
        <v>1.9459101490553132</v>
      </c>
    </row>
    <row r="42" spans="1:24" ht="15" x14ac:dyDescent="0.2">
      <c r="M42" s="56">
        <v>39511</v>
      </c>
      <c r="N42" s="57">
        <v>2</v>
      </c>
      <c r="O42" s="58">
        <f t="shared" si="0"/>
        <v>0.69314718055994529</v>
      </c>
    </row>
    <row r="43" spans="1:24" ht="15" x14ac:dyDescent="0.2">
      <c r="M43" s="56">
        <v>39609</v>
      </c>
      <c r="N43" s="57">
        <v>2</v>
      </c>
      <c r="O43" s="58">
        <f t="shared" si="0"/>
        <v>0.69314718055994529</v>
      </c>
    </row>
    <row r="44" spans="1:24" ht="15" x14ac:dyDescent="0.2">
      <c r="M44" s="56">
        <v>39672</v>
      </c>
      <c r="N44" s="57">
        <v>2</v>
      </c>
      <c r="O44" s="58">
        <f t="shared" si="0"/>
        <v>0.69314718055994529</v>
      </c>
      <c r="T44" s="83" t="s">
        <v>13</v>
      </c>
    </row>
    <row r="45" spans="1:24" ht="15" x14ac:dyDescent="0.2">
      <c r="M45" s="56">
        <v>39771</v>
      </c>
      <c r="N45" s="57">
        <v>2</v>
      </c>
      <c r="O45" s="58">
        <f t="shared" si="0"/>
        <v>0.69314718055994529</v>
      </c>
      <c r="T45" s="69" t="s">
        <v>26</v>
      </c>
      <c r="U45" s="69" t="s">
        <v>27</v>
      </c>
    </row>
    <row r="46" spans="1:24" ht="15" x14ac:dyDescent="0.2">
      <c r="B46" s="6"/>
      <c r="M46" s="56">
        <v>39888</v>
      </c>
      <c r="N46" s="57">
        <v>6</v>
      </c>
      <c r="O46" s="58">
        <f t="shared" si="0"/>
        <v>1.791759469228055</v>
      </c>
      <c r="T46" s="85">
        <f>$U$14-$B$38/100</f>
        <v>-4.6199999999999998E-2</v>
      </c>
      <c r="U46" s="28">
        <v>0</v>
      </c>
    </row>
    <row r="47" spans="1:24" ht="15" x14ac:dyDescent="0.2">
      <c r="B47" s="9"/>
      <c r="C47" s="9"/>
      <c r="D47" s="9"/>
      <c r="E47" s="9"/>
      <c r="M47" s="56">
        <v>39973</v>
      </c>
      <c r="N47" s="57">
        <v>2.9</v>
      </c>
      <c r="O47" s="58">
        <f t="shared" si="0"/>
        <v>1.0647107369924282</v>
      </c>
      <c r="T47" s="85">
        <f>$U$14+$B$38/100</f>
        <v>4.6199999999999998E-2</v>
      </c>
      <c r="U47" s="28">
        <f>$X$15</f>
        <v>5.1689603928409898E-2</v>
      </c>
    </row>
    <row r="48" spans="1:24" ht="16.149999999999999" customHeight="1" x14ac:dyDescent="0.2">
      <c r="D48" s="9"/>
      <c r="E48" s="9"/>
      <c r="K48" s="11"/>
      <c r="L48" s="12"/>
      <c r="M48" s="56">
        <v>40071</v>
      </c>
      <c r="N48" s="57">
        <v>4.8</v>
      </c>
      <c r="O48" s="58">
        <f t="shared" si="0"/>
        <v>1.5686159179138452</v>
      </c>
      <c r="T48" s="85">
        <f>$U$15-$B$38/100</f>
        <v>4.5738000000000003</v>
      </c>
      <c r="U48" s="28">
        <f>$X$15</f>
        <v>5.1689603928409898E-2</v>
      </c>
    </row>
    <row r="49" spans="5:21" ht="15" x14ac:dyDescent="0.2">
      <c r="E49" s="13"/>
      <c r="M49" s="56">
        <v>40150</v>
      </c>
      <c r="N49" s="57">
        <v>4.8</v>
      </c>
      <c r="O49" s="58">
        <f t="shared" si="0"/>
        <v>1.5686159179138452</v>
      </c>
      <c r="T49" s="85">
        <f>$U$15+$B$38/100</f>
        <v>4.6661999999999999</v>
      </c>
      <c r="U49" s="28">
        <f>$X$16</f>
        <v>5.1689603928409898E-2</v>
      </c>
    </row>
    <row r="50" spans="5:21" ht="15" x14ac:dyDescent="0.2">
      <c r="E50" s="15"/>
      <c r="M50" s="56">
        <v>40246</v>
      </c>
      <c r="N50" s="57">
        <v>2.9</v>
      </c>
      <c r="O50" s="58">
        <f t="shared" si="0"/>
        <v>1.0647107369924282</v>
      </c>
      <c r="T50" s="85">
        <f>$U$16-$B$38/100</f>
        <v>9.1937999999999995</v>
      </c>
      <c r="U50" s="28">
        <f>$X$16</f>
        <v>5.1689603928409898E-2</v>
      </c>
    </row>
    <row r="51" spans="5:21" ht="15" x14ac:dyDescent="0.2">
      <c r="E51" s="15"/>
      <c r="M51" s="56">
        <v>40339</v>
      </c>
      <c r="N51" s="57">
        <v>5.0999999999999996</v>
      </c>
      <c r="O51" s="58">
        <f t="shared" si="0"/>
        <v>1.62924053973028</v>
      </c>
      <c r="T51" s="85">
        <f>$U$16+$B$38/100</f>
        <v>9.2862000000000009</v>
      </c>
      <c r="U51" s="28">
        <f>$X$17</f>
        <v>7.1073205401563616E-2</v>
      </c>
    </row>
    <row r="52" spans="5:21" ht="15" x14ac:dyDescent="0.2">
      <c r="E52" s="15"/>
      <c r="M52" s="56">
        <v>40428</v>
      </c>
      <c r="N52" s="57">
        <v>6.2</v>
      </c>
      <c r="O52" s="58">
        <f t="shared" si="0"/>
        <v>1.824549292051046</v>
      </c>
      <c r="T52" s="85">
        <f>$U$17-$B$38/100</f>
        <v>13.813799999999999</v>
      </c>
      <c r="U52" s="28">
        <f>$X$17</f>
        <v>7.1073205401563616E-2</v>
      </c>
    </row>
    <row r="53" spans="5:21" ht="15" x14ac:dyDescent="0.2">
      <c r="E53" s="15"/>
      <c r="F53" s="15"/>
      <c r="G53" s="15"/>
      <c r="M53" s="56">
        <v>40512</v>
      </c>
      <c r="N53" s="57">
        <v>3.1</v>
      </c>
      <c r="O53" s="58">
        <f t="shared" si="0"/>
        <v>1.1314021114911006</v>
      </c>
      <c r="T53" s="85">
        <f>$U$17+$B$38/100</f>
        <v>13.9062</v>
      </c>
      <c r="U53" s="28">
        <f>$X$18</f>
        <v>5.8150804419461133E-2</v>
      </c>
    </row>
    <row r="54" spans="5:21" ht="15" x14ac:dyDescent="0.2">
      <c r="E54" s="15"/>
      <c r="F54" s="15"/>
      <c r="G54" s="15"/>
      <c r="M54" s="56">
        <v>40589</v>
      </c>
      <c r="N54" s="57">
        <v>2.9</v>
      </c>
      <c r="O54" s="58">
        <f t="shared" si="0"/>
        <v>1.0647107369924282</v>
      </c>
      <c r="T54" s="85">
        <f>$U$18-$B$38/100</f>
        <v>18.433800000000002</v>
      </c>
      <c r="U54" s="28">
        <f>$X$18</f>
        <v>5.8150804419461133E-2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40724</v>
      </c>
      <c r="N55" s="57">
        <v>55</v>
      </c>
      <c r="O55" s="58">
        <f t="shared" si="0"/>
        <v>4.0073331852324712</v>
      </c>
      <c r="T55" s="85">
        <f>$U$18+$B$38/100</f>
        <v>18.526199999999999</v>
      </c>
      <c r="U55" s="28">
        <f>$X$19</f>
        <v>1.6153001227628094E-2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40801</v>
      </c>
      <c r="N56" s="57">
        <v>3.1</v>
      </c>
      <c r="O56" s="58">
        <f t="shared" si="0"/>
        <v>1.1314021114911006</v>
      </c>
      <c r="T56" s="85">
        <f>$U$19-$B$38/100</f>
        <v>23.053800000000003</v>
      </c>
      <c r="U56" s="28">
        <f>$X$19</f>
        <v>1.6153001227628094E-2</v>
      </c>
    </row>
    <row r="57" spans="5:21" ht="15" x14ac:dyDescent="0.2">
      <c r="E57" s="70">
        <v>1</v>
      </c>
      <c r="F57" s="74">
        <f>$B$21</f>
        <v>41.240021847236882</v>
      </c>
      <c r="G57" s="74">
        <f>$C$21</f>
        <v>-19.138529309923449</v>
      </c>
      <c r="H57" s="74">
        <f>$B$22</f>
        <v>46.883423611217246</v>
      </c>
      <c r="I57" s="74">
        <f>$C$22</f>
        <v>-24.781931073903813</v>
      </c>
      <c r="J57" s="74">
        <f>$B$31</f>
        <v>29.02601208006778</v>
      </c>
      <c r="K57" s="74">
        <f>$B$32</f>
        <v>40.872070629783295</v>
      </c>
      <c r="M57" s="56">
        <v>40879</v>
      </c>
      <c r="N57" s="57">
        <v>2.1</v>
      </c>
      <c r="O57" s="58">
        <f t="shared" si="0"/>
        <v>0.74193734472937733</v>
      </c>
      <c r="T57" s="85">
        <f>$U$19+$B$38/100</f>
        <v>23.1462</v>
      </c>
      <c r="U57" s="28">
        <f>$X$20</f>
        <v>6.4612004910512373E-3</v>
      </c>
    </row>
    <row r="58" spans="5:21" ht="15" x14ac:dyDescent="0.2">
      <c r="E58" s="70">
        <v>73415</v>
      </c>
      <c r="F58" s="74">
        <f>$B$21</f>
        <v>41.240021847236882</v>
      </c>
      <c r="G58" s="74">
        <f>$C$21</f>
        <v>-19.138529309923449</v>
      </c>
      <c r="H58" s="74">
        <f>$B$22</f>
        <v>46.883423611217246</v>
      </c>
      <c r="I58" s="74">
        <f>$C$22</f>
        <v>-24.781931073903813</v>
      </c>
      <c r="J58" s="74">
        <f>$B$31</f>
        <v>29.02601208006778</v>
      </c>
      <c r="K58" s="74">
        <f>$B$32</f>
        <v>40.872070629783295</v>
      </c>
      <c r="M58" s="56">
        <v>40961</v>
      </c>
      <c r="N58" s="57">
        <v>3.8</v>
      </c>
      <c r="O58" s="58">
        <f t="shared" si="0"/>
        <v>1.33500106673234</v>
      </c>
      <c r="T58" s="85">
        <f>$U$20-$B$38/100</f>
        <v>27.6738</v>
      </c>
      <c r="U58" s="28">
        <f>$X$20</f>
        <v>6.4612004910512373E-3</v>
      </c>
    </row>
    <row r="59" spans="5:21" ht="15" x14ac:dyDescent="0.2">
      <c r="M59" s="56">
        <v>41065</v>
      </c>
      <c r="N59" s="57">
        <v>5</v>
      </c>
      <c r="O59" s="58">
        <f t="shared" si="0"/>
        <v>1.6094379124341003</v>
      </c>
      <c r="T59" s="85">
        <f>$U$20+$B$38/100</f>
        <v>27.766199999999998</v>
      </c>
      <c r="U59" s="28">
        <f>$X$21</f>
        <v>0</v>
      </c>
    </row>
    <row r="60" spans="5:21" ht="15" x14ac:dyDescent="0.2">
      <c r="M60" s="56">
        <v>41151</v>
      </c>
      <c r="N60" s="57">
        <v>12</v>
      </c>
      <c r="O60" s="58">
        <f t="shared" si="0"/>
        <v>2.4849066497880004</v>
      </c>
      <c r="T60" s="85">
        <f>$U$21-$B$38/100</f>
        <v>32.293800000000005</v>
      </c>
      <c r="U60" s="28">
        <f>$X$21</f>
        <v>0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41249</v>
      </c>
      <c r="N61" s="57">
        <v>19</v>
      </c>
      <c r="O61" s="58">
        <f t="shared" si="0"/>
        <v>2.9444389791664403</v>
      </c>
      <c r="T61" s="85">
        <f>$U$21+$B$38/100</f>
        <v>32.386200000000002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41697</v>
      </c>
      <c r="N62" s="57">
        <v>8.4</v>
      </c>
      <c r="O62" s="58">
        <f t="shared" si="0"/>
        <v>2.1282317058492679</v>
      </c>
      <c r="T62" s="85">
        <f>$U$22-$B$38/100</f>
        <v>36.913800000000002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-65.964127006335374</v>
      </c>
      <c r="G63" s="73">
        <f>NORMDIST($F63,$B$16,$B$17,FALSE)</f>
        <v>9.6521584176718901E-8</v>
      </c>
      <c r="H63" s="73">
        <f>EXP($R$26+$E63*$R$27)</f>
        <v>0.11150344606511803</v>
      </c>
      <c r="I63" s="73">
        <f t="shared" ref="I63:I113" si="5">H63-$B$26</f>
        <v>0.11150344606511803</v>
      </c>
      <c r="J63" s="73">
        <f>1/$H63/SQRT(2*PI())/$R$27*EXP(-POWER(LN($H63)-$R$26,2)/2/POWER($R$27,2))</f>
        <v>1.592955360210991E-5</v>
      </c>
      <c r="K63" s="73">
        <f>LOGNORMDIST($H63,$R$26,$R$27)</f>
        <v>2.8665157187919333E-7</v>
      </c>
      <c r="M63" s="56">
        <v>41802</v>
      </c>
      <c r="N63" s="57">
        <v>14</v>
      </c>
      <c r="O63" s="58">
        <f t="shared" si="0"/>
        <v>2.6390573296152584</v>
      </c>
      <c r="T63" s="85">
        <f>$U$22+$B$38/100</f>
        <v>37.0062</v>
      </c>
      <c r="U63" s="28">
        <f>$X$23</f>
        <v>0</v>
      </c>
    </row>
    <row r="64" spans="5:21" ht="15" x14ac:dyDescent="0.2">
      <c r="E64" s="72">
        <v>-4.8</v>
      </c>
      <c r="F64" s="73">
        <f t="shared" ref="F64:F113" si="6">$B$16+$E64*$B$17</f>
        <v>-62.883532075335701</v>
      </c>
      <c r="G64" s="73">
        <f t="shared" ref="G64:G113" si="7">NORMDIST($F64,$B$16,$B$17,FALSE)</f>
        <v>2.5717753744057444E-7</v>
      </c>
      <c r="H64" s="73">
        <f t="shared" ref="H64:H113" si="8">EXP($R$26+$E64*$R$27)</f>
        <v>0.13182298532601378</v>
      </c>
      <c r="I64" s="73">
        <f t="shared" si="5"/>
        <v>0.13182298532601378</v>
      </c>
      <c r="J64" s="73">
        <f t="shared" ref="J64:J113" si="9">1/$H64/SQRT(2*PI())/$R$27*EXP(-POWER(LN($H64)-$R$26,2)/2/POWER($R$27,2))</f>
        <v>3.5901231392852498E-5</v>
      </c>
      <c r="K64" s="73">
        <f t="shared" ref="K64:K113" si="10">LOGNORMDIST($H64,$R$26,$R$27)</f>
        <v>7.933281519755948E-7</v>
      </c>
      <c r="M64" s="56">
        <v>41911</v>
      </c>
      <c r="N64" s="57">
        <v>5.7</v>
      </c>
      <c r="O64" s="58">
        <f t="shared" si="0"/>
        <v>1.7404661748405046</v>
      </c>
      <c r="T64" s="85">
        <f>$U$23-$B$38/100</f>
        <v>41.533799999999999</v>
      </c>
      <c r="U64" s="28">
        <f>$X$23</f>
        <v>0</v>
      </c>
    </row>
    <row r="65" spans="5:21" ht="15" x14ac:dyDescent="0.2">
      <c r="E65" s="72">
        <v>-4.5999999999999996</v>
      </c>
      <c r="F65" s="73">
        <f t="shared" si="6"/>
        <v>-59.802937144336006</v>
      </c>
      <c r="G65" s="73">
        <f t="shared" si="7"/>
        <v>6.5836971705955189E-7</v>
      </c>
      <c r="H65" s="73">
        <f t="shared" si="8"/>
        <v>0.15584540275207365</v>
      </c>
      <c r="I65" s="73">
        <f t="shared" si="5"/>
        <v>0.15584540275207365</v>
      </c>
      <c r="J65" s="73">
        <f t="shared" si="9"/>
        <v>7.7739779576168805E-5</v>
      </c>
      <c r="K65" s="73">
        <f t="shared" si="10"/>
        <v>2.1124547025028533E-6</v>
      </c>
      <c r="M65" s="56">
        <v>41970</v>
      </c>
      <c r="N65" s="57">
        <v>8.9</v>
      </c>
      <c r="O65" s="58">
        <f t="shared" si="0"/>
        <v>2.1860512767380942</v>
      </c>
      <c r="T65" s="85">
        <f>$U$23+$B$38/100</f>
        <v>41.626199999999997</v>
      </c>
      <c r="U65" s="28">
        <f>$X$24</f>
        <v>3.2306002455256186E-3</v>
      </c>
    </row>
    <row r="66" spans="5:21" ht="15" x14ac:dyDescent="0.2">
      <c r="E66" s="72">
        <v>-4.4000000000000004</v>
      </c>
      <c r="F66" s="73">
        <f t="shared" si="6"/>
        <v>-56.72234221333634</v>
      </c>
      <c r="G66" s="73">
        <f t="shared" si="7"/>
        <v>1.6193282043711895E-6</v>
      </c>
      <c r="H66" s="73">
        <f t="shared" si="8"/>
        <v>0.18424548267428068</v>
      </c>
      <c r="I66" s="73">
        <f t="shared" si="5"/>
        <v>0.18424548267428068</v>
      </c>
      <c r="J66" s="73">
        <f t="shared" si="9"/>
        <v>1.6173554846441379E-4</v>
      </c>
      <c r="K66" s="73">
        <f t="shared" si="10"/>
        <v>5.4125439077038416E-6</v>
      </c>
      <c r="M66" s="56">
        <v>42075</v>
      </c>
      <c r="N66" s="57">
        <v>110</v>
      </c>
      <c r="O66" s="58">
        <f t="shared" si="0"/>
        <v>4.7004803657924166</v>
      </c>
      <c r="T66" s="85">
        <f>$U$24-$B$38/100</f>
        <v>46.153800000000004</v>
      </c>
      <c r="U66" s="28">
        <f>$X$24</f>
        <v>3.2306002455256186E-3</v>
      </c>
    </row>
    <row r="67" spans="5:21" ht="15" x14ac:dyDescent="0.2">
      <c r="E67" s="72">
        <v>-4.2</v>
      </c>
      <c r="F67" s="73">
        <f t="shared" si="6"/>
        <v>-53.641747282336645</v>
      </c>
      <c r="G67" s="73">
        <f t="shared" si="7"/>
        <v>3.8267327627791841E-6</v>
      </c>
      <c r="H67" s="73">
        <f t="shared" si="8"/>
        <v>0.2178209769837243</v>
      </c>
      <c r="I67" s="73">
        <f t="shared" si="5"/>
        <v>0.2178209769837243</v>
      </c>
      <c r="J67" s="73">
        <f t="shared" si="9"/>
        <v>3.2329269164365129E-4</v>
      </c>
      <c r="K67" s="73">
        <f t="shared" si="10"/>
        <v>1.3345749015906309E-5</v>
      </c>
      <c r="M67" s="56">
        <v>42171</v>
      </c>
      <c r="N67" s="57">
        <v>13</v>
      </c>
      <c r="O67" s="58">
        <f t="shared" ref="O67:O130" si="11">IF($N67&gt;0,LN($N67+$B$26))</f>
        <v>2.5649493574615367</v>
      </c>
      <c r="T67" s="85">
        <f>$U$24+$B$38/100</f>
        <v>46.246200000000002</v>
      </c>
      <c r="U67" s="28">
        <f>$X$25</f>
        <v>0</v>
      </c>
    </row>
    <row r="68" spans="5:21" ht="15" x14ac:dyDescent="0.2">
      <c r="E68" s="72">
        <v>-4</v>
      </c>
      <c r="F68" s="73">
        <f t="shared" si="6"/>
        <v>-50.561152351336965</v>
      </c>
      <c r="G68" s="73">
        <f t="shared" si="7"/>
        <v>8.6885961161700749E-6</v>
      </c>
      <c r="H68" s="73">
        <f t="shared" si="8"/>
        <v>0.2575150138037402</v>
      </c>
      <c r="I68" s="73">
        <f t="shared" si="5"/>
        <v>0.2575150138037402</v>
      </c>
      <c r="J68" s="73">
        <f t="shared" si="9"/>
        <v>6.2088977702169309E-4</v>
      </c>
      <c r="K68" s="73">
        <f t="shared" si="10"/>
        <v>3.1671241833119857E-5</v>
      </c>
      <c r="M68" s="56">
        <v>42261</v>
      </c>
      <c r="N68" s="57">
        <v>10</v>
      </c>
      <c r="O68" s="58">
        <f t="shared" si="11"/>
        <v>2.3025850929940459</v>
      </c>
      <c r="T68" s="85">
        <f>$U$25-$B$38/100</f>
        <v>50.773800000000001</v>
      </c>
      <c r="U68" s="28">
        <f>$X$25</f>
        <v>0</v>
      </c>
    </row>
    <row r="69" spans="5:21" ht="15" x14ac:dyDescent="0.2">
      <c r="E69" s="72">
        <v>-3.8</v>
      </c>
      <c r="F69" s="73">
        <f t="shared" si="6"/>
        <v>-47.480557420337277</v>
      </c>
      <c r="G69" s="73">
        <f t="shared" si="7"/>
        <v>1.895393145354041E-5</v>
      </c>
      <c r="H69" s="73">
        <f t="shared" si="8"/>
        <v>0.30444258974788979</v>
      </c>
      <c r="I69" s="73">
        <f t="shared" si="5"/>
        <v>0.30444258974788979</v>
      </c>
      <c r="J69" s="73">
        <f t="shared" si="9"/>
        <v>1.1456747777392814E-3</v>
      </c>
      <c r="K69" s="73">
        <f t="shared" si="10"/>
        <v>7.2348043925120125E-5</v>
      </c>
      <c r="M69" s="56">
        <v>42341</v>
      </c>
      <c r="N69" s="57">
        <v>5.7</v>
      </c>
      <c r="O69" s="58">
        <f t="shared" si="11"/>
        <v>1.7404661748405046</v>
      </c>
      <c r="T69" s="85">
        <f>$U$25+$B$38/100</f>
        <v>50.866199999999999</v>
      </c>
      <c r="U69" s="28">
        <f>$X$26</f>
        <v>3.2306002455256186E-3</v>
      </c>
    </row>
    <row r="70" spans="5:21" ht="15" x14ac:dyDescent="0.2">
      <c r="E70" s="72">
        <v>-3.6</v>
      </c>
      <c r="F70" s="73">
        <f t="shared" si="6"/>
        <v>-44.399962489337597</v>
      </c>
      <c r="G70" s="73">
        <f t="shared" si="7"/>
        <v>3.9726218072767105E-5</v>
      </c>
      <c r="H70" s="73">
        <f t="shared" si="8"/>
        <v>0.35992188992537744</v>
      </c>
      <c r="I70" s="73">
        <f t="shared" si="5"/>
        <v>0.35992188992537744</v>
      </c>
      <c r="J70" s="73">
        <f t="shared" si="9"/>
        <v>2.0311238964848604E-3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55.393799999999999</v>
      </c>
      <c r="U70" s="28">
        <f>$X$26</f>
        <v>3.2306002455256186E-3</v>
      </c>
    </row>
    <row r="71" spans="5:21" ht="15" x14ac:dyDescent="0.2">
      <c r="E71" s="72">
        <v>-3.4</v>
      </c>
      <c r="F71" s="73">
        <f t="shared" si="6"/>
        <v>-41.319367558337909</v>
      </c>
      <c r="G71" s="73">
        <f t="shared" si="7"/>
        <v>7.9998779201597426E-5</v>
      </c>
      <c r="H71" s="73">
        <f t="shared" si="8"/>
        <v>0.42551131546585313</v>
      </c>
      <c r="I71" s="73">
        <f t="shared" si="5"/>
        <v>0.42551131546585313</v>
      </c>
      <c r="J71" s="73">
        <f t="shared" si="9"/>
        <v>3.4597100255666156E-3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55.486199999999997</v>
      </c>
      <c r="U71" s="28">
        <f>$X$27</f>
        <v>3.2306002455256186E-3</v>
      </c>
    </row>
    <row r="72" spans="5:21" ht="15" x14ac:dyDescent="0.2">
      <c r="E72" s="72">
        <v>-3.2</v>
      </c>
      <c r="F72" s="73">
        <f t="shared" si="6"/>
        <v>-38.238772627338228</v>
      </c>
      <c r="G72" s="73">
        <f t="shared" si="7"/>
        <v>1.5478102476077109E-4</v>
      </c>
      <c r="H72" s="73">
        <f t="shared" si="8"/>
        <v>0.50305325865848205</v>
      </c>
      <c r="I72" s="73">
        <f t="shared" si="5"/>
        <v>0.50305325865848205</v>
      </c>
      <c r="J72" s="73">
        <f t="shared" si="9"/>
        <v>5.662017471304512E-3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60.013800000000003</v>
      </c>
      <c r="U72" s="28">
        <f>$X$27</f>
        <v>3.2306002455256186E-3</v>
      </c>
    </row>
    <row r="73" spans="5:21" ht="15" x14ac:dyDescent="0.2">
      <c r="E73" s="72">
        <v>-3</v>
      </c>
      <c r="F73" s="73">
        <f t="shared" si="6"/>
        <v>-35.158177696338548</v>
      </c>
      <c r="G73" s="73">
        <f t="shared" si="7"/>
        <v>2.8772678727351019E-4</v>
      </c>
      <c r="H73" s="73">
        <f t="shared" si="8"/>
        <v>0.59472585533915356</v>
      </c>
      <c r="I73" s="73">
        <f t="shared" si="5"/>
        <v>0.59472585533915356</v>
      </c>
      <c r="J73" s="73">
        <f t="shared" si="9"/>
        <v>8.9028884308458844E-3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60.106200000000001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-32.07758276533886</v>
      </c>
      <c r="G74" s="73">
        <f t="shared" si="7"/>
        <v>5.1389109962674158E-4</v>
      </c>
      <c r="H74" s="73">
        <f t="shared" si="8"/>
        <v>0.70310416823879573</v>
      </c>
      <c r="I74" s="73">
        <f t="shared" si="5"/>
        <v>0.70310416823879573</v>
      </c>
      <c r="J74" s="73">
        <f t="shared" si="9"/>
        <v>1.3449894489319067E-2</v>
      </c>
      <c r="K74" s="73">
        <f t="shared" si="10"/>
        <v>2.5551303304279364E-3</v>
      </c>
      <c r="M74" s="56"/>
      <c r="N74" s="57"/>
      <c r="O74" s="58" t="b">
        <f t="shared" si="11"/>
        <v>0</v>
      </c>
      <c r="T74" s="85">
        <f>$U$28-$B$38/100</f>
        <v>64.633800000000008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-28.99698783433918</v>
      </c>
      <c r="G75" s="73">
        <f t="shared" si="7"/>
        <v>8.8184065337521044E-4</v>
      </c>
      <c r="H75" s="73">
        <f t="shared" si="8"/>
        <v>0.83123251991937175</v>
      </c>
      <c r="I75" s="73">
        <f t="shared" si="5"/>
        <v>0.83123251991937175</v>
      </c>
      <c r="J75" s="73">
        <f t="shared" si="9"/>
        <v>1.9522482610960321E-2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64.726200000000006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-25.916392903339492</v>
      </c>
      <c r="G76" s="73">
        <f t="shared" si="7"/>
        <v>1.4539094425878088E-3</v>
      </c>
      <c r="H76" s="73">
        <f t="shared" si="8"/>
        <v>0.98271000711354384</v>
      </c>
      <c r="I76" s="73">
        <f t="shared" si="5"/>
        <v>0.98271000711354384</v>
      </c>
      <c r="J76" s="73">
        <f t="shared" si="9"/>
        <v>2.7225723690875211E-2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69.253799999999998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-22.835797972339812</v>
      </c>
      <c r="G77" s="73">
        <f t="shared" si="7"/>
        <v>2.3031001245411749E-3</v>
      </c>
      <c r="H77" s="73">
        <f t="shared" si="8"/>
        <v>1.1617915985466667</v>
      </c>
      <c r="I77" s="73">
        <f t="shared" si="5"/>
        <v>1.1617915985466667</v>
      </c>
      <c r="J77" s="73">
        <f t="shared" si="9"/>
        <v>3.6479765784179372E-2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69.346199999999996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-19.755203041340124</v>
      </c>
      <c r="G78" s="73">
        <f t="shared" si="7"/>
        <v>3.5052298482921573E-3</v>
      </c>
      <c r="H78" s="73">
        <f t="shared" si="8"/>
        <v>1.3735076560563266</v>
      </c>
      <c r="I78" s="73">
        <f t="shared" si="5"/>
        <v>1.3735076560563266</v>
      </c>
      <c r="J78" s="73">
        <f t="shared" si="9"/>
        <v>4.6962679790416899E-2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73.873800000000003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-16.674608110340436</v>
      </c>
      <c r="G79" s="73">
        <f t="shared" si="7"/>
        <v>5.1256435895824879E-3</v>
      </c>
      <c r="H79" s="73">
        <f t="shared" si="8"/>
        <v>1.623805236330917</v>
      </c>
      <c r="I79" s="73">
        <f t="shared" si="5"/>
        <v>1.623805236330917</v>
      </c>
      <c r="J79" s="73">
        <f t="shared" si="9"/>
        <v>5.8087397727977684E-2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73.966200000000001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-13.594013179340754</v>
      </c>
      <c r="G80" s="73">
        <f t="shared" si="7"/>
        <v>7.2012606112716419E-3</v>
      </c>
      <c r="H80" s="73">
        <f t="shared" si="8"/>
        <v>1.9197151424014882</v>
      </c>
      <c r="I80" s="73">
        <f t="shared" si="5"/>
        <v>1.9197151424014882</v>
      </c>
      <c r="J80" s="73">
        <f t="shared" si="9"/>
        <v>6.9030209542210577E-2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78.493800000000007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-10.51341824834107</v>
      </c>
      <c r="G81" s="73">
        <f t="shared" si="7"/>
        <v>9.7206850617751802E-3</v>
      </c>
      <c r="H81" s="73">
        <f t="shared" si="8"/>
        <v>2.2695494173258934</v>
      </c>
      <c r="I81" s="73">
        <f t="shared" si="5"/>
        <v>2.2695494173258934</v>
      </c>
      <c r="J81" s="73">
        <f t="shared" si="9"/>
        <v>7.8817868022507925E-2</v>
      </c>
      <c r="K81" s="73">
        <f t="shared" si="10"/>
        <v>8.0756659233771094E-2</v>
      </c>
      <c r="L81" s="14"/>
      <c r="M81" s="56"/>
      <c r="N81" s="57"/>
      <c r="O81" s="58" t="b">
        <f t="shared" si="11"/>
        <v>0</v>
      </c>
      <c r="T81" s="85">
        <f>$U$31+$B$38/100</f>
        <v>78.586200000000005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-7.432823317341386</v>
      </c>
      <c r="G82" s="73">
        <f t="shared" si="7"/>
        <v>1.2607048919618761E-2</v>
      </c>
      <c r="H82" s="73">
        <f t="shared" si="8"/>
        <v>2.6831348276186353</v>
      </c>
      <c r="I82" s="73">
        <f t="shared" si="5"/>
        <v>2.6831348276186353</v>
      </c>
      <c r="J82" s="73">
        <f t="shared" si="9"/>
        <v>8.6464611722526855E-2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83.113799999999998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-4.3522283863417019</v>
      </c>
      <c r="G83" s="73">
        <f t="shared" si="7"/>
        <v>1.5709350300113716E-2</v>
      </c>
      <c r="H83" s="73">
        <f t="shared" si="8"/>
        <v>3.1720888949237276</v>
      </c>
      <c r="I83" s="73">
        <f t="shared" si="5"/>
        <v>3.1720888949237276</v>
      </c>
      <c r="J83" s="73">
        <f t="shared" si="9"/>
        <v>9.1133978199801499E-2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83.206199999999995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-1.2716334553420179</v>
      </c>
      <c r="G84" s="73">
        <f t="shared" si="7"/>
        <v>1.8807506942658956E-2</v>
      </c>
      <c r="H84" s="73">
        <f t="shared" si="8"/>
        <v>3.7501462295984962</v>
      </c>
      <c r="I84" s="73">
        <f t="shared" si="5"/>
        <v>3.7501462295984962</v>
      </c>
      <c r="J84" s="73">
        <f t="shared" si="9"/>
        <v>9.2289115208538192E-2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87.733800000000002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1.8089614756576662</v>
      </c>
      <c r="G85" s="73">
        <f t="shared" si="7"/>
        <v>2.1633782457965996E-2</v>
      </c>
      <c r="H85" s="73">
        <f t="shared" si="8"/>
        <v>4.4335443328456829</v>
      </c>
      <c r="I85" s="73">
        <f t="shared" si="5"/>
        <v>4.4335443328456829</v>
      </c>
      <c r="J85" s="73">
        <f t="shared" si="9"/>
        <v>8.9794318113915583E-2</v>
      </c>
      <c r="K85" s="73">
        <f t="shared" si="10"/>
        <v>0.27425311775007355</v>
      </c>
      <c r="M85" s="56"/>
      <c r="N85" s="57"/>
      <c r="O85" s="58" t="b">
        <f t="shared" si="11"/>
        <v>0</v>
      </c>
      <c r="T85" s="85">
        <f>$U$33+$B$38/100</f>
        <v>87.8262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4.8895564066573503</v>
      </c>
      <c r="G86" s="73">
        <f t="shared" si="7"/>
        <v>2.390902722051912E-2</v>
      </c>
      <c r="H86" s="73">
        <f t="shared" si="8"/>
        <v>5.2414797044894286</v>
      </c>
      <c r="I86" s="73">
        <f t="shared" si="5"/>
        <v>5.2414797044894286</v>
      </c>
      <c r="J86" s="73">
        <f t="shared" si="9"/>
        <v>8.3941253838520108E-2</v>
      </c>
      <c r="K86" s="73">
        <f t="shared" si="10"/>
        <v>0.34457825838967576</v>
      </c>
      <c r="M86" s="56"/>
      <c r="N86" s="57"/>
      <c r="O86" s="58" t="b">
        <f t="shared" si="11"/>
        <v>0</v>
      </c>
      <c r="T86" s="85">
        <f>$U$34-$B$38/100</f>
        <v>92.353800000000007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7.9701513376570343</v>
      </c>
      <c r="G87" s="73">
        <f t="shared" si="7"/>
        <v>2.5387478895095017E-2</v>
      </c>
      <c r="H87" s="73">
        <f t="shared" si="8"/>
        <v>6.1966470683605168</v>
      </c>
      <c r="I87" s="73">
        <f t="shared" si="5"/>
        <v>6.1966470683605168</v>
      </c>
      <c r="J87" s="73">
        <f t="shared" si="9"/>
        <v>7.5392868596463075E-2</v>
      </c>
      <c r="K87" s="73">
        <f t="shared" si="10"/>
        <v>0.4207402905608969</v>
      </c>
      <c r="M87" s="56"/>
      <c r="N87" s="57"/>
      <c r="O87" s="58" t="b">
        <f t="shared" si="11"/>
        <v>0</v>
      </c>
      <c r="T87" s="85">
        <f>$U$34+$B$38/100</f>
        <v>92.446200000000005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11.050746268656718</v>
      </c>
      <c r="G88" s="73">
        <f t="shared" si="7"/>
        <v>2.5900339988676923E-2</v>
      </c>
      <c r="H88" s="73">
        <f t="shared" si="8"/>
        <v>7.3258768620113131</v>
      </c>
      <c r="I88" s="73">
        <f t="shared" si="5"/>
        <v>7.3258768620113131</v>
      </c>
      <c r="J88" s="73">
        <f t="shared" si="9"/>
        <v>6.50598869926034E-2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96.973799999999997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14.131341199656402</v>
      </c>
      <c r="G89" s="73">
        <f t="shared" si="7"/>
        <v>2.5387478895095017E-2</v>
      </c>
      <c r="H89" s="73">
        <f t="shared" si="8"/>
        <v>8.6608888977038525</v>
      </c>
      <c r="I89" s="73">
        <f t="shared" si="5"/>
        <v>8.6608888977038525</v>
      </c>
      <c r="J89" s="73">
        <f t="shared" si="9"/>
        <v>5.3941691630222936E-2</v>
      </c>
      <c r="K89" s="73">
        <f t="shared" si="10"/>
        <v>0.5792597094391031</v>
      </c>
      <c r="M89" s="56"/>
      <c r="N89" s="57"/>
      <c r="O89" s="58" t="b">
        <f t="shared" si="11"/>
        <v>0</v>
      </c>
      <c r="T89" s="85">
        <f>$U$35+$B$38/100</f>
        <v>97.066199999999995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17.211936130656085</v>
      </c>
      <c r="G90" s="73">
        <f t="shared" si="7"/>
        <v>2.3909027220519123E-2</v>
      </c>
      <c r="H90" s="73">
        <f t="shared" si="8"/>
        <v>10.239183364839635</v>
      </c>
      <c r="I90" s="73">
        <f t="shared" si="5"/>
        <v>10.239183364839635</v>
      </c>
      <c r="J90" s="73">
        <f t="shared" si="9"/>
        <v>4.2969870026435389E-2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101.5938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20.292531061655772</v>
      </c>
      <c r="G91" s="73">
        <f t="shared" si="7"/>
        <v>2.1633782457965996E-2</v>
      </c>
      <c r="H91" s="73">
        <f t="shared" si="8"/>
        <v>12.10509420189004</v>
      </c>
      <c r="I91" s="73">
        <f t="shared" si="5"/>
        <v>12.10509420189004</v>
      </c>
      <c r="J91" s="73">
        <f t="shared" si="9"/>
        <v>3.2887566470447951E-2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101.6862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23.373125992655609</v>
      </c>
      <c r="G92" s="73">
        <f t="shared" si="7"/>
        <v>1.8807506942658807E-2</v>
      </c>
      <c r="H92" s="73">
        <f t="shared" si="8"/>
        <v>14.311034426809298</v>
      </c>
      <c r="I92" s="73">
        <f t="shared" si="5"/>
        <v>14.311034426809298</v>
      </c>
      <c r="J92" s="73">
        <f t="shared" si="9"/>
        <v>2.418397350675942E-2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106.21380000000001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26.453720923655293</v>
      </c>
      <c r="G93" s="73">
        <f t="shared" si="7"/>
        <v>1.5709350300113556E-2</v>
      </c>
      <c r="H93" s="73">
        <f t="shared" si="8"/>
        <v>16.918968406982053</v>
      </c>
      <c r="I93" s="73">
        <f t="shared" si="5"/>
        <v>16.918968406982053</v>
      </c>
      <c r="J93" s="73">
        <f t="shared" si="9"/>
        <v>1.7086448372260692E-2</v>
      </c>
      <c r="K93" s="73">
        <f t="shared" si="10"/>
        <v>0.84134474606854526</v>
      </c>
      <c r="M93" s="56"/>
      <c r="N93" s="57"/>
      <c r="O93" s="58" t="b">
        <f t="shared" si="11"/>
        <v>0</v>
      </c>
      <c r="T93" s="85">
        <f>$U$37+$B$38/100</f>
        <v>106.3062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29.534315854654977</v>
      </c>
      <c r="G94" s="73">
        <f t="shared" si="7"/>
        <v>1.2607048919618604E-2</v>
      </c>
      <c r="H94" s="73">
        <f t="shared" si="8"/>
        <v>20.002152424440624</v>
      </c>
      <c r="I94" s="73">
        <f t="shared" si="5"/>
        <v>20.002152424440624</v>
      </c>
      <c r="J94" s="73">
        <f t="shared" si="9"/>
        <v>1.1598562302012829E-2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110.8338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32.614910785654658</v>
      </c>
      <c r="G95" s="73">
        <f t="shared" si="7"/>
        <v>9.7206850617750466E-3</v>
      </c>
      <c r="H95" s="73">
        <f t="shared" si="8"/>
        <v>23.647192428437315</v>
      </c>
      <c r="I95" s="73">
        <f t="shared" si="5"/>
        <v>23.647192428437315</v>
      </c>
      <c r="J95" s="73">
        <f t="shared" si="9"/>
        <v>7.5645786275343662E-3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110.92619999999999</v>
      </c>
      <c r="U95" s="28">
        <f>$X$39</f>
        <v>3.2306002455256186E-3</v>
      </c>
    </row>
    <row r="96" spans="5:21" ht="15" x14ac:dyDescent="0.2">
      <c r="E96" s="72">
        <v>1.6000000000000101</v>
      </c>
      <c r="F96" s="73">
        <f t="shared" si="6"/>
        <v>35.695505716654345</v>
      </c>
      <c r="G96" s="73">
        <f t="shared" si="7"/>
        <v>7.2012606112715274E-3</v>
      </c>
      <c r="H96" s="73">
        <f t="shared" si="8"/>
        <v>27.95647677718269</v>
      </c>
      <c r="I96" s="73">
        <f t="shared" si="5"/>
        <v>27.95647677718269</v>
      </c>
      <c r="J96" s="73">
        <f t="shared" si="9"/>
        <v>4.7401659228206144E-3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115.4538</v>
      </c>
      <c r="U96" s="28">
        <f>$X$39</f>
        <v>3.2306002455256186E-3</v>
      </c>
    </row>
    <row r="97" spans="5:21" ht="15" x14ac:dyDescent="0.2">
      <c r="E97" s="72">
        <v>1.80000000000001</v>
      </c>
      <c r="F97" s="73">
        <f t="shared" si="6"/>
        <v>38.776100647654033</v>
      </c>
      <c r="G97" s="73">
        <f t="shared" si="7"/>
        <v>5.1256435895823899E-3</v>
      </c>
      <c r="H97" s="73">
        <f t="shared" si="8"/>
        <v>33.051052303920521</v>
      </c>
      <c r="I97" s="73">
        <f t="shared" si="5"/>
        <v>33.051052303920521</v>
      </c>
      <c r="J97" s="73">
        <f t="shared" si="9"/>
        <v>2.8538462173059633E-3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115.5462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41.856695578653714</v>
      </c>
      <c r="G98" s="73">
        <f t="shared" si="7"/>
        <v>3.5052298482920853E-3</v>
      </c>
      <c r="H98" s="73">
        <f t="shared" si="8"/>
        <v>39.074024495391875</v>
      </c>
      <c r="I98" s="73">
        <f t="shared" si="5"/>
        <v>39.074024495391875</v>
      </c>
      <c r="J98" s="73">
        <f t="shared" si="9"/>
        <v>1.6508051339494125E-3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44.937290509653394</v>
      </c>
      <c r="G99" s="73">
        <f t="shared" si="7"/>
        <v>2.3031001245411259E-3</v>
      </c>
      <c r="H99" s="73">
        <f t="shared" si="8"/>
        <v>46.194577292940721</v>
      </c>
      <c r="I99" s="73">
        <f t="shared" si="5"/>
        <v>46.194577292940721</v>
      </c>
      <c r="J99" s="73">
        <f t="shared" si="9"/>
        <v>9.1746451398929665E-4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48.017885440653082</v>
      </c>
      <c r="G100" s="73">
        <f t="shared" si="7"/>
        <v>1.4539094425877735E-3</v>
      </c>
      <c r="H100" s="73">
        <f t="shared" si="8"/>
        <v>54.6127254315751</v>
      </c>
      <c r="I100" s="73">
        <f t="shared" si="5"/>
        <v>54.6127254315751</v>
      </c>
      <c r="J100" s="73">
        <f t="shared" si="9"/>
        <v>4.8990397220611702E-4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51.098480371652762</v>
      </c>
      <c r="G101" s="73">
        <f t="shared" si="7"/>
        <v>8.818406533751881E-4</v>
      </c>
      <c r="H101" s="73">
        <f t="shared" si="8"/>
        <v>64.564932809124087</v>
      </c>
      <c r="I101" s="73">
        <f t="shared" si="5"/>
        <v>64.564932809124087</v>
      </c>
      <c r="J101" s="73">
        <f t="shared" si="9"/>
        <v>2.5133956948061772E-4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54.17907530265245</v>
      </c>
      <c r="G102" s="73">
        <f t="shared" si="7"/>
        <v>5.1389109962672683E-4</v>
      </c>
      <c r="H102" s="73">
        <f t="shared" si="8"/>
        <v>76.330754704224319</v>
      </c>
      <c r="I102" s="73">
        <f t="shared" si="5"/>
        <v>76.330754704224319</v>
      </c>
      <c r="J102" s="73">
        <f t="shared" si="9"/>
        <v>1.238907818277946E-4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57.259670233652137</v>
      </c>
      <c r="G103" s="73">
        <f t="shared" si="7"/>
        <v>2.8772678727350206E-4</v>
      </c>
      <c r="H103" s="73">
        <f t="shared" si="8"/>
        <v>90.240690421551847</v>
      </c>
      <c r="I103" s="73">
        <f t="shared" si="5"/>
        <v>90.240690421551847</v>
      </c>
      <c r="J103" s="73">
        <f t="shared" si="9"/>
        <v>5.8673951986510631E-5</v>
      </c>
      <c r="K103" s="73">
        <f t="shared" si="10"/>
        <v>0.99865010196837001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60.340265164651818</v>
      </c>
      <c r="G104" s="73">
        <f t="shared" si="7"/>
        <v>1.5478102476076629E-4</v>
      </c>
      <c r="H104" s="73">
        <f t="shared" si="8"/>
        <v>106.68546694334832</v>
      </c>
      <c r="I104" s="73">
        <f t="shared" si="5"/>
        <v>106.68546694334832</v>
      </c>
      <c r="J104" s="73">
        <f t="shared" si="9"/>
        <v>2.6698072578464673E-5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63.420860095651499</v>
      </c>
      <c r="G105" s="73">
        <f t="shared" si="7"/>
        <v>7.9998779201594648E-5</v>
      </c>
      <c r="H105" s="73">
        <f t="shared" si="8"/>
        <v>126.12701436293538</v>
      </c>
      <c r="I105" s="73">
        <f t="shared" si="5"/>
        <v>126.12701436293538</v>
      </c>
      <c r="J105" s="73">
        <f t="shared" si="9"/>
        <v>1.1671930645032491E-5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66.501455026651186</v>
      </c>
      <c r="G106" s="73">
        <f t="shared" si="7"/>
        <v>3.9726218072765661E-5</v>
      </c>
      <c r="H106" s="73">
        <f t="shared" si="8"/>
        <v>149.11144139768831</v>
      </c>
      <c r="I106" s="73">
        <f t="shared" si="5"/>
        <v>149.11144139768831</v>
      </c>
      <c r="J106" s="73">
        <f t="shared" si="9"/>
        <v>4.9026818106174942E-6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69.582049957650867</v>
      </c>
      <c r="G107" s="73">
        <f t="shared" si="7"/>
        <v>1.8953931453539685E-5</v>
      </c>
      <c r="H107" s="73">
        <f t="shared" si="8"/>
        <v>176.28437546072738</v>
      </c>
      <c r="I107" s="73">
        <f t="shared" si="5"/>
        <v>176.28437546072738</v>
      </c>
      <c r="J107" s="73">
        <f t="shared" si="9"/>
        <v>1.9785769183013886E-6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72.662644888650547</v>
      </c>
      <c r="G108" s="73">
        <f t="shared" si="7"/>
        <v>8.6885961161697344E-6</v>
      </c>
      <c r="H108" s="73">
        <f t="shared" si="8"/>
        <v>208.40909819050574</v>
      </c>
      <c r="I108" s="73">
        <f t="shared" si="5"/>
        <v>208.40909819050574</v>
      </c>
      <c r="J108" s="73">
        <f t="shared" si="9"/>
        <v>7.6718550624015108E-7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75.743239819650242</v>
      </c>
      <c r="G109" s="73">
        <f t="shared" si="7"/>
        <v>3.8267327627790274E-6</v>
      </c>
      <c r="H109" s="73">
        <f t="shared" si="8"/>
        <v>246.3879858612666</v>
      </c>
      <c r="I109" s="73">
        <f t="shared" si="5"/>
        <v>246.3879858612666</v>
      </c>
      <c r="J109" s="73">
        <f t="shared" si="9"/>
        <v>2.8580910590813687E-7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78.823834750649922</v>
      </c>
      <c r="G110" s="73">
        <f t="shared" si="7"/>
        <v>1.6193282043711204E-6</v>
      </c>
      <c r="H110" s="73">
        <f t="shared" si="8"/>
        <v>291.28785693069744</v>
      </c>
      <c r="I110" s="73">
        <f t="shared" si="5"/>
        <v>291.28785693069744</v>
      </c>
      <c r="J110" s="73">
        <f t="shared" si="9"/>
        <v>1.0230101764765234E-7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81.904429681649617</v>
      </c>
      <c r="G111" s="73">
        <f t="shared" si="7"/>
        <v>6.5836971705951917E-7</v>
      </c>
      <c r="H111" s="73">
        <f t="shared" si="8"/>
        <v>344.36993873172889</v>
      </c>
      <c r="I111" s="73">
        <f t="shared" si="5"/>
        <v>344.36993873172889</v>
      </c>
      <c r="J111" s="73">
        <f t="shared" si="9"/>
        <v>3.5181314903746478E-8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84.985024612649283</v>
      </c>
      <c r="G112" s="73">
        <f t="shared" si="7"/>
        <v>2.5717753744056253E-7</v>
      </c>
      <c r="H112" s="73">
        <f t="shared" si="8"/>
        <v>407.12529506614243</v>
      </c>
      <c r="I112" s="73">
        <f t="shared" si="5"/>
        <v>407.12529506614243</v>
      </c>
      <c r="J112" s="73">
        <f t="shared" si="9"/>
        <v>1.1624449663135599E-8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88.065619543648822</v>
      </c>
      <c r="G113" s="73">
        <f t="shared" si="7"/>
        <v>9.6521584176718901E-8</v>
      </c>
      <c r="H113" s="73">
        <f t="shared" si="8"/>
        <v>481.31670985316725</v>
      </c>
      <c r="I113" s="73">
        <f t="shared" si="5"/>
        <v>481.31670985316725</v>
      </c>
      <c r="J113" s="73">
        <f t="shared" si="9"/>
        <v>3.690293905350024E-9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8.2428805320874099E-2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-15.531229975458851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6.8163191580173548E-4</v>
      </c>
      <c r="H120" s="69" t="s">
        <v>50</v>
      </c>
      <c r="I120" s="79">
        <f>IF($B$9&gt;3,INDEX(XX!$C$4:$C$150,$B$9))</f>
        <v>0.23519999999999999</v>
      </c>
      <c r="J120" s="79">
        <f>IF($B$9&gt;3,INDEX(XX!$D$4:$D$150,$B$9))</f>
        <v>0.30599999999999999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42341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3" sqref="M3:N21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142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39875</v>
      </c>
      <c r="N3" s="57">
        <v>9.1999999999999993</v>
      </c>
      <c r="O3" s="58">
        <f t="shared" ref="O3:O66" si="0">IF($N3&gt;0,LN($N3+$B$26))</f>
        <v>2.2192034840549946</v>
      </c>
      <c r="T3" s="69" t="s">
        <v>109</v>
      </c>
      <c r="U3" s="82">
        <f>$B$21</f>
        <v>14.597677462193687</v>
      </c>
      <c r="V3" s="82">
        <f t="shared" ref="V3:V10" si="1">U3</f>
        <v>14.597677462193687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39969</v>
      </c>
      <c r="N4" s="57">
        <v>7.4</v>
      </c>
      <c r="O4" s="58">
        <f t="shared" si="0"/>
        <v>2.0014800002101243</v>
      </c>
      <c r="T4" s="69" t="s">
        <v>111</v>
      </c>
      <c r="U4" s="82">
        <f>$B$31</f>
        <v>10.97798425859383</v>
      </c>
      <c r="V4" s="82">
        <f t="shared" si="1"/>
        <v>10.97798425859383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40065</v>
      </c>
      <c r="N5" s="57">
        <v>23</v>
      </c>
      <c r="O5" s="58">
        <f t="shared" si="0"/>
        <v>3.1354942159291497</v>
      </c>
      <c r="T5" s="69" t="s">
        <v>110</v>
      </c>
      <c r="U5" s="82">
        <f>$B$22</f>
        <v>16.16158564519418</v>
      </c>
      <c r="V5" s="82">
        <f t="shared" si="1"/>
        <v>16.16158564519418</v>
      </c>
    </row>
    <row r="6" spans="1:24" ht="15" customHeight="1" x14ac:dyDescent="0.25">
      <c r="A6" s="107" t="s">
        <v>18</v>
      </c>
      <c r="B6" s="116">
        <v>35</v>
      </c>
      <c r="C6" s="18"/>
      <c r="M6" s="56">
        <v>40142</v>
      </c>
      <c r="N6" s="57">
        <v>5.9</v>
      </c>
      <c r="O6" s="58">
        <f t="shared" si="0"/>
        <v>1.7749523509116738</v>
      </c>
      <c r="T6" s="69" t="s">
        <v>29</v>
      </c>
      <c r="U6" s="82">
        <f>$B$32</f>
        <v>12.988937188095122</v>
      </c>
      <c r="V6" s="82">
        <f t="shared" si="1"/>
        <v>12.988937188095122</v>
      </c>
    </row>
    <row r="7" spans="1:24" ht="15" customHeight="1" x14ac:dyDescent="0.2">
      <c r="D7" s="4"/>
      <c r="F7" s="5"/>
      <c r="M7" s="56">
        <v>40219</v>
      </c>
      <c r="N7" s="57">
        <v>5.6</v>
      </c>
      <c r="O7" s="58">
        <f t="shared" si="0"/>
        <v>1.7227665977411035</v>
      </c>
      <c r="T7" s="69" t="s">
        <v>31</v>
      </c>
      <c r="U7" s="82">
        <f>$C$21</f>
        <v>-2.1345195674568442</v>
      </c>
      <c r="V7" s="82">
        <f t="shared" si="1"/>
        <v>-2.1345195674568442</v>
      </c>
    </row>
    <row r="8" spans="1:24" ht="15" customHeight="1" x14ac:dyDescent="0.25">
      <c r="A8" s="140" t="s">
        <v>12</v>
      </c>
      <c r="B8" s="140"/>
      <c r="C8" s="140"/>
      <c r="D8" s="4"/>
      <c r="M8" s="56">
        <v>40350</v>
      </c>
      <c r="N8" s="57">
        <v>4.7</v>
      </c>
      <c r="O8" s="58">
        <f t="shared" si="0"/>
        <v>1.547562508716013</v>
      </c>
      <c r="T8" s="69" t="s">
        <v>32</v>
      </c>
      <c r="U8" s="82">
        <f>$C$31</f>
        <v>0.91298753165436053</v>
      </c>
      <c r="V8" s="82">
        <f t="shared" si="1"/>
        <v>0.91298753165436053</v>
      </c>
    </row>
    <row r="9" spans="1:24" ht="15" customHeight="1" x14ac:dyDescent="0.2">
      <c r="A9" s="101" t="s">
        <v>11</v>
      </c>
      <c r="B9" s="59">
        <f>COUNT($M$3:$M252)</f>
        <v>19</v>
      </c>
      <c r="C9" s="60"/>
      <c r="D9" s="4"/>
      <c r="M9" s="56">
        <v>40448</v>
      </c>
      <c r="N9" s="57">
        <v>4.5</v>
      </c>
      <c r="O9" s="58">
        <f t="shared" si="0"/>
        <v>1.5040773967762742</v>
      </c>
      <c r="T9" s="69" t="s">
        <v>112</v>
      </c>
      <c r="U9" s="82">
        <f>$C$22</f>
        <v>-3.6984277504573368</v>
      </c>
      <c r="V9" s="82">
        <f t="shared" si="1"/>
        <v>-3.6984277504573368</v>
      </c>
    </row>
    <row r="10" spans="1:24" ht="15" customHeight="1" x14ac:dyDescent="0.2">
      <c r="A10" s="102" t="s">
        <v>7</v>
      </c>
      <c r="B10" s="61">
        <f>MIN($N$3:$N$252)</f>
        <v>3.4</v>
      </c>
      <c r="C10" s="60"/>
      <c r="D10" s="4"/>
      <c r="M10" s="56">
        <v>40521</v>
      </c>
      <c r="N10" s="57">
        <v>5.5</v>
      </c>
      <c r="O10" s="58">
        <f t="shared" si="0"/>
        <v>1.7047480922384253</v>
      </c>
      <c r="T10" s="69" t="s">
        <v>113</v>
      </c>
      <c r="U10" s="82">
        <f>$C$32</f>
        <v>0.76226915823847852</v>
      </c>
      <c r="V10" s="82">
        <f t="shared" si="1"/>
        <v>0.76226915823847852</v>
      </c>
    </row>
    <row r="11" spans="1:24" ht="15" customHeight="1" x14ac:dyDescent="0.2">
      <c r="A11" s="102" t="s">
        <v>8</v>
      </c>
      <c r="B11" s="61">
        <f>MAX($N$3:$N$252)</f>
        <v>23</v>
      </c>
      <c r="C11" s="60"/>
      <c r="D11" s="4"/>
      <c r="M11" s="56">
        <v>40585</v>
      </c>
      <c r="N11" s="57">
        <v>6</v>
      </c>
      <c r="O11" s="58">
        <f t="shared" si="0"/>
        <v>1.791759469228055</v>
      </c>
      <c r="T11" s="69" t="s">
        <v>68</v>
      </c>
      <c r="U11" s="82">
        <f>$B$12</f>
        <v>5.4</v>
      </c>
      <c r="V11" s="82">
        <f>U11</f>
        <v>5.4</v>
      </c>
    </row>
    <row r="12" spans="1:24" ht="15" customHeight="1" x14ac:dyDescent="0.2">
      <c r="A12" s="102" t="s">
        <v>68</v>
      </c>
      <c r="B12" s="62">
        <f>MEDIAN($N$3:$N$252)</f>
        <v>5.4</v>
      </c>
      <c r="C12" s="50"/>
      <c r="D12" s="4"/>
      <c r="M12" s="56">
        <v>40675</v>
      </c>
      <c r="N12" s="57">
        <v>5.4</v>
      </c>
      <c r="O12" s="58">
        <f t="shared" si="0"/>
        <v>1.6863989535702288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95%</v>
      </c>
      <c r="C13" s="50"/>
      <c r="M13" s="56">
        <v>40792</v>
      </c>
      <c r="N13" s="57">
        <v>4.5</v>
      </c>
      <c r="O13" s="58">
        <f t="shared" si="0"/>
        <v>1.5040773967762742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40871</v>
      </c>
      <c r="N14" s="57">
        <v>4.7</v>
      </c>
      <c r="O14" s="58">
        <f t="shared" si="0"/>
        <v>1.547562508716013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40953</v>
      </c>
      <c r="N15" s="57">
        <v>6</v>
      </c>
      <c r="O15" s="58">
        <f t="shared" si="0"/>
        <v>1.791759469228055</v>
      </c>
      <c r="T15" s="69">
        <v>1</v>
      </c>
      <c r="U15" s="77">
        <f t="shared" ref="U15:U39" si="3">$B$36+T15*$B$38</f>
        <v>0.96600000000000008</v>
      </c>
      <c r="V15" s="84">
        <f>FREQUENCY($N$3:$N$252,$U$15:$U$39)</f>
        <v>0</v>
      </c>
      <c r="W15" s="79">
        <f t="shared" ref="W15:W39" si="4">(U15+U14)/2</f>
        <v>0.48300000000000004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6.2315789473684218</v>
      </c>
      <c r="C16" s="60"/>
      <c r="M16" s="56">
        <v>41058</v>
      </c>
      <c r="N16" s="57">
        <v>4.5</v>
      </c>
      <c r="O16" s="58">
        <f t="shared" si="0"/>
        <v>1.5040773967762742</v>
      </c>
      <c r="T16" s="69">
        <v>2</v>
      </c>
      <c r="U16" s="77">
        <f t="shared" si="3"/>
        <v>1.9320000000000002</v>
      </c>
      <c r="V16" s="84">
        <f t="array" ref="V16:V40">FREQUENCY($N$3:$N$252,$U$15:$U$39)</f>
        <v>0</v>
      </c>
      <c r="W16" s="79">
        <f t="shared" si="4"/>
        <v>1.4490000000000001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4.2684960442212132</v>
      </c>
      <c r="C17" s="60"/>
      <c r="D17" s="4"/>
      <c r="M17" s="56">
        <v>41177</v>
      </c>
      <c r="N17" s="57">
        <v>4.5</v>
      </c>
      <c r="O17" s="58">
        <f t="shared" si="0"/>
        <v>1.5040773967762742</v>
      </c>
      <c r="T17" s="69">
        <v>3</v>
      </c>
      <c r="U17" s="77">
        <f t="shared" si="3"/>
        <v>2.8980000000000001</v>
      </c>
      <c r="V17" s="84">
        <v>0</v>
      </c>
      <c r="W17" s="79">
        <f t="shared" si="4"/>
        <v>2.415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0.20417614768756398</v>
      </c>
      <c r="C18" s="114" t="s">
        <v>45</v>
      </c>
      <c r="D18" s="4"/>
      <c r="J18" s="6"/>
      <c r="M18" s="56">
        <v>41305</v>
      </c>
      <c r="N18" s="57">
        <v>5.5</v>
      </c>
      <c r="O18" s="58">
        <f t="shared" si="0"/>
        <v>1.7047480922384253</v>
      </c>
      <c r="T18" s="69">
        <v>4</v>
      </c>
      <c r="U18" s="77">
        <f t="shared" si="3"/>
        <v>3.8640000000000003</v>
      </c>
      <c r="V18" s="84">
        <v>0</v>
      </c>
      <c r="W18" s="79">
        <f t="shared" si="4"/>
        <v>3.3810000000000002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mäßig</v>
      </c>
      <c r="C19" s="64"/>
      <c r="D19" s="4"/>
      <c r="M19" s="56">
        <v>41394</v>
      </c>
      <c r="N19" s="57">
        <v>4.0999999999999996</v>
      </c>
      <c r="O19" s="58">
        <f t="shared" si="0"/>
        <v>1.410986973710262</v>
      </c>
      <c r="T19" s="69">
        <v>5</v>
      </c>
      <c r="U19" s="77">
        <f t="shared" si="3"/>
        <v>4.83</v>
      </c>
      <c r="V19" s="84">
        <v>1</v>
      </c>
      <c r="W19" s="79">
        <f t="shared" si="4"/>
        <v>4.3470000000000004</v>
      </c>
      <c r="X19" s="80">
        <f t="shared" si="2"/>
        <v>5.4484036177400011E-2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41471</v>
      </c>
      <c r="N20" s="57">
        <v>3.4</v>
      </c>
      <c r="O20" s="58">
        <f t="shared" si="0"/>
        <v>1.2237754316221157</v>
      </c>
      <c r="T20" s="69">
        <v>6</v>
      </c>
      <c r="U20" s="77">
        <f t="shared" si="3"/>
        <v>5.7960000000000003</v>
      </c>
      <c r="V20" s="84">
        <v>8</v>
      </c>
      <c r="W20" s="79">
        <f t="shared" si="4"/>
        <v>5.3130000000000006</v>
      </c>
      <c r="X20" s="80">
        <f t="shared" si="2"/>
        <v>0.43587228941920009</v>
      </c>
    </row>
    <row r="21" spans="1:24" ht="15" customHeight="1" x14ac:dyDescent="0.2">
      <c r="A21" s="103" t="s">
        <v>76</v>
      </c>
      <c r="B21" s="62">
        <f>NORMINV(0.975,$B$16,$B$17)</f>
        <v>14.597677462193687</v>
      </c>
      <c r="C21" s="62">
        <f>NORMINV(0.025,$B$16,$B$17)</f>
        <v>-2.1345195674568442</v>
      </c>
      <c r="D21" s="4"/>
      <c r="M21" s="56">
        <v>41569</v>
      </c>
      <c r="N21" s="57">
        <v>4</v>
      </c>
      <c r="O21" s="58">
        <f t="shared" si="0"/>
        <v>1.3862943611198906</v>
      </c>
      <c r="T21" s="69">
        <v>7</v>
      </c>
      <c r="U21" s="77">
        <f t="shared" si="3"/>
        <v>6.7620000000000005</v>
      </c>
      <c r="V21" s="84">
        <v>4</v>
      </c>
      <c r="W21" s="79">
        <f t="shared" si="4"/>
        <v>6.2789999999999999</v>
      </c>
      <c r="X21" s="80">
        <f t="shared" si="2"/>
        <v>0.21793614470960004</v>
      </c>
    </row>
    <row r="22" spans="1:24" ht="15" customHeight="1" x14ac:dyDescent="0.2">
      <c r="A22" s="104" t="s">
        <v>77</v>
      </c>
      <c r="B22" s="62">
        <f>NORMINV(0.99,$B$16,$B$17)</f>
        <v>16.16158564519418</v>
      </c>
      <c r="C22" s="62">
        <f>NORMINV(0.01,B16,B17)</f>
        <v>-3.6984277504573368</v>
      </c>
      <c r="M22" s="56"/>
      <c r="N22" s="57"/>
      <c r="O22" s="58" t="b">
        <f t="shared" si="0"/>
        <v>0</v>
      </c>
      <c r="T22" s="69">
        <v>8</v>
      </c>
      <c r="U22" s="77">
        <f t="shared" si="3"/>
        <v>7.7280000000000006</v>
      </c>
      <c r="V22" s="84">
        <v>3</v>
      </c>
      <c r="W22" s="79">
        <f t="shared" si="4"/>
        <v>7.245000000000001</v>
      </c>
      <c r="X22" s="80">
        <f t="shared" si="2"/>
        <v>0.16345210853220005</v>
      </c>
    </row>
    <row r="23" spans="1:24" ht="15" customHeight="1" x14ac:dyDescent="0.25">
      <c r="A23" s="112" t="s">
        <v>81</v>
      </c>
      <c r="B23" s="96">
        <f>MAX($B$22+0.5*$B$6,$B$6)</f>
        <v>35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8.6940000000000008</v>
      </c>
      <c r="V23" s="84">
        <v>1</v>
      </c>
      <c r="W23" s="79">
        <f t="shared" si="4"/>
        <v>8.2110000000000003</v>
      </c>
      <c r="X23" s="80">
        <f t="shared" si="2"/>
        <v>5.4484036177400011E-2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9.66</v>
      </c>
      <c r="V24" s="84">
        <v>0</v>
      </c>
      <c r="W24" s="79">
        <f t="shared" si="4"/>
        <v>9.1769999999999996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>
        <f>MEDIAN($O$3:$O$252)</f>
        <v>1.6863989535702288</v>
      </c>
      <c r="T25" s="69">
        <v>11</v>
      </c>
      <c r="U25" s="77">
        <f t="shared" si="3"/>
        <v>10.626000000000001</v>
      </c>
      <c r="V25" s="84">
        <v>1</v>
      </c>
      <c r="W25" s="79">
        <f t="shared" si="4"/>
        <v>10.143000000000001</v>
      </c>
      <c r="X25" s="80">
        <f t="shared" si="2"/>
        <v>5.4484036177400011E-2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>
        <f>AVERAGE($O$3:$O$252)</f>
        <v>1.7192527419126118</v>
      </c>
      <c r="T26" s="69">
        <v>12</v>
      </c>
      <c r="U26" s="77">
        <f t="shared" si="3"/>
        <v>11.592000000000001</v>
      </c>
      <c r="V26" s="84">
        <v>0</v>
      </c>
      <c r="W26" s="79">
        <f t="shared" si="4"/>
        <v>11.109000000000002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5.5803569390139813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>
        <f>STDEV($O$3:$O$252)</f>
        <v>0.41136736012394537</v>
      </c>
      <c r="T27" s="69">
        <v>13</v>
      </c>
      <c r="U27" s="77">
        <f t="shared" si="3"/>
        <v>12.558000000000002</v>
      </c>
      <c r="V27" s="84">
        <v>0</v>
      </c>
      <c r="W27" s="79">
        <f t="shared" si="4"/>
        <v>12.075000000000001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8.3701266214235709E-2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>
        <f>NORMINV(0.025,$R$26,$R$27)</f>
        <v>0.91298753165436053</v>
      </c>
      <c r="T28" s="69">
        <v>14</v>
      </c>
      <c r="U28" s="77">
        <f t="shared" si="3"/>
        <v>13.524000000000001</v>
      </c>
      <c r="V28" s="84">
        <v>0</v>
      </c>
      <c r="W28" s="79">
        <f t="shared" si="4"/>
        <v>13.041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/>
      <c r="N29" s="57"/>
      <c r="O29" s="58" t="b">
        <f t="shared" si="0"/>
        <v>0</v>
      </c>
      <c r="Q29" s="75" t="s">
        <v>107</v>
      </c>
      <c r="R29" s="75">
        <f>NORMINV(0.01,$R$26,$R$27)</f>
        <v>0.76226915823847852</v>
      </c>
      <c r="T29" s="69">
        <v>15</v>
      </c>
      <c r="U29" s="77">
        <f t="shared" si="3"/>
        <v>14.490000000000002</v>
      </c>
      <c r="V29" s="84">
        <v>0</v>
      </c>
      <c r="W29" s="79">
        <f t="shared" si="4"/>
        <v>14.007000000000001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>
        <f>NORMINV(0.95,$R$26,$R$27)</f>
        <v>2.3958918362219355</v>
      </c>
      <c r="T30" s="69">
        <v>16</v>
      </c>
      <c r="U30" s="77">
        <f t="shared" si="3"/>
        <v>15.456000000000001</v>
      </c>
      <c r="V30" s="84">
        <v>0</v>
      </c>
      <c r="W30" s="79">
        <f t="shared" si="4"/>
        <v>14.973000000000003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10.97798425859383</v>
      </c>
      <c r="C31" s="62">
        <f>NORMINV(0.025,$R$26,$R$27)</f>
        <v>0.91298753165436053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>
        <f>NORMINV(0.98,$R$26,$R$27)</f>
        <v>2.5640980096366528</v>
      </c>
      <c r="T31" s="69">
        <v>17</v>
      </c>
      <c r="U31" s="77">
        <f t="shared" si="3"/>
        <v>16.422000000000001</v>
      </c>
      <c r="V31" s="84">
        <v>0</v>
      </c>
      <c r="W31" s="79">
        <f t="shared" si="4"/>
        <v>15.939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12.988937188095122</v>
      </c>
      <c r="C32" s="62">
        <f>NORMINV(0.01,$R$26,$R$27)</f>
        <v>0.76226915823847852</v>
      </c>
      <c r="M32" s="56"/>
      <c r="N32" s="57"/>
      <c r="O32" s="58" t="b">
        <f t="shared" si="0"/>
        <v>0</v>
      </c>
      <c r="T32" s="69">
        <v>18</v>
      </c>
      <c r="U32" s="77">
        <f t="shared" si="3"/>
        <v>17.388000000000002</v>
      </c>
      <c r="V32" s="84">
        <v>0</v>
      </c>
      <c r="W32" s="79">
        <f t="shared" si="4"/>
        <v>16.905000000000001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35</v>
      </c>
      <c r="M33" s="56"/>
      <c r="N33" s="57"/>
      <c r="O33" s="58" t="b">
        <f t="shared" si="0"/>
        <v>0</v>
      </c>
      <c r="T33" s="69">
        <v>19</v>
      </c>
      <c r="U33" s="77">
        <f t="shared" si="3"/>
        <v>18.354000000000003</v>
      </c>
      <c r="V33" s="84">
        <v>0</v>
      </c>
      <c r="W33" s="79">
        <f t="shared" si="4"/>
        <v>17.871000000000002</v>
      </c>
      <c r="X33" s="80">
        <f t="shared" si="2"/>
        <v>0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19.32</v>
      </c>
      <c r="V34" s="84">
        <v>0</v>
      </c>
      <c r="W34" s="79">
        <f t="shared" si="4"/>
        <v>18.837000000000003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20.286000000000001</v>
      </c>
      <c r="V35" s="84">
        <v>0</v>
      </c>
      <c r="W35" s="79">
        <f t="shared" si="4"/>
        <v>19.803000000000001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21.252000000000002</v>
      </c>
      <c r="V36" s="84">
        <v>0</v>
      </c>
      <c r="W36" s="79">
        <f t="shared" si="4"/>
        <v>20.769000000000002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24.150000000000002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22.218000000000004</v>
      </c>
      <c r="V37" s="84">
        <v>0</v>
      </c>
      <c r="W37" s="79">
        <f t="shared" si="4"/>
        <v>21.735000000000003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0.96600000000000008</v>
      </c>
      <c r="M38" s="56"/>
      <c r="N38" s="57"/>
      <c r="O38" s="58" t="b">
        <f t="shared" si="0"/>
        <v>0</v>
      </c>
      <c r="T38" s="69">
        <v>24</v>
      </c>
      <c r="U38" s="77">
        <f t="shared" si="3"/>
        <v>23.184000000000001</v>
      </c>
      <c r="V38" s="84">
        <v>0</v>
      </c>
      <c r="W38" s="79">
        <f t="shared" si="4"/>
        <v>22.701000000000001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24.150000000000002</v>
      </c>
      <c r="V39" s="84">
        <v>1</v>
      </c>
      <c r="W39" s="79">
        <f t="shared" si="4"/>
        <v>23.667000000000002</v>
      </c>
      <c r="X39" s="80">
        <f t="shared" si="2"/>
        <v>5.4484036177400011E-2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-9.6600000000000002E-3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9.6600000000000002E-3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0.95634000000000008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0.97566000000000008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1.9223400000000002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1.9416600000000002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2.8883400000000004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2.9076599999999999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3.8543400000000005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3.8736600000000001</v>
      </c>
      <c r="U55" s="28">
        <f>$X$19</f>
        <v>5.4484036177400011E-2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4.8203399999999998</v>
      </c>
      <c r="U56" s="28">
        <f>$X$19</f>
        <v>5.4484036177400011E-2</v>
      </c>
    </row>
    <row r="57" spans="5:21" ht="15" x14ac:dyDescent="0.2">
      <c r="E57" s="70">
        <v>36161</v>
      </c>
      <c r="F57" s="74">
        <f>$B$21</f>
        <v>14.597677462193687</v>
      </c>
      <c r="G57" s="74">
        <f>$C$21</f>
        <v>-2.1345195674568442</v>
      </c>
      <c r="H57" s="74">
        <f>$B$22</f>
        <v>16.16158564519418</v>
      </c>
      <c r="I57" s="74">
        <f>$C$22</f>
        <v>-3.6984277504573368</v>
      </c>
      <c r="J57" s="74">
        <f>$B$31</f>
        <v>10.97798425859383</v>
      </c>
      <c r="K57" s="74">
        <f>$B$32</f>
        <v>12.988937188095122</v>
      </c>
      <c r="M57" s="56"/>
      <c r="N57" s="57"/>
      <c r="O57" s="58" t="b">
        <f t="shared" si="0"/>
        <v>0</v>
      </c>
      <c r="T57" s="85">
        <f>$U$19+$B$38/100</f>
        <v>4.8396600000000003</v>
      </c>
      <c r="U57" s="28">
        <f>$X$20</f>
        <v>0.43587228941920009</v>
      </c>
    </row>
    <row r="58" spans="5:21" ht="15" x14ac:dyDescent="0.2">
      <c r="E58" s="70">
        <v>73415</v>
      </c>
      <c r="F58" s="74">
        <f>$B$21</f>
        <v>14.597677462193687</v>
      </c>
      <c r="G58" s="74">
        <f>$C$21</f>
        <v>-2.1345195674568442</v>
      </c>
      <c r="H58" s="74">
        <f>$B$22</f>
        <v>16.16158564519418</v>
      </c>
      <c r="I58" s="74">
        <f>$C$22</f>
        <v>-3.6984277504573368</v>
      </c>
      <c r="J58" s="74">
        <f>$B$31</f>
        <v>10.97798425859383</v>
      </c>
      <c r="K58" s="74">
        <f>$B$32</f>
        <v>12.988937188095122</v>
      </c>
      <c r="M58" s="56"/>
      <c r="N58" s="57"/>
      <c r="O58" s="58" t="b">
        <f t="shared" si="0"/>
        <v>0</v>
      </c>
      <c r="T58" s="85">
        <f>$U$20-$B$38/100</f>
        <v>5.78634</v>
      </c>
      <c r="U58" s="28">
        <f>$X$20</f>
        <v>0.43587228941920009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5.8056600000000005</v>
      </c>
      <c r="U59" s="28">
        <f>$X$21</f>
        <v>0.21793614470960004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6.7523400000000002</v>
      </c>
      <c r="U60" s="28">
        <f>$X$21</f>
        <v>0.21793614470960004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6.7716600000000007</v>
      </c>
      <c r="U61" s="28">
        <f>$X$22</f>
        <v>0.16345210853220005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7.7183400000000004</v>
      </c>
      <c r="U62" s="28">
        <f>$X$22</f>
        <v>0.16345210853220005</v>
      </c>
    </row>
    <row r="63" spans="5:21" ht="15" x14ac:dyDescent="0.2">
      <c r="E63" s="72">
        <v>-5</v>
      </c>
      <c r="F63" s="73">
        <f>$B$16+$E63*$B$17</f>
        <v>-15.110901273737642</v>
      </c>
      <c r="G63" s="73">
        <f>NORMDIST($F63,$B$16,$B$17,FALSE)</f>
        <v>3.4830054879564721E-7</v>
      </c>
      <c r="H63" s="73">
        <f>EXP($R$26+$E63*$R$27)</f>
        <v>0.71349199697091015</v>
      </c>
      <c r="I63" s="73">
        <f t="shared" ref="I63:I113" si="5">H63-$B$26</f>
        <v>0.71349199697091015</v>
      </c>
      <c r="J63" s="73">
        <f>1/$H63/SQRT(2*PI())/$R$27*EXP(-POWER(LN($H63)-$R$26,2)/2/POWER($R$27,2))</f>
        <v>5.0653575470111386E-6</v>
      </c>
      <c r="K63" s="73">
        <f>LOGNORMDIST($H63,$R$26,$R$27)</f>
        <v>2.8665157187919439E-7</v>
      </c>
      <c r="M63" s="56"/>
      <c r="N63" s="57"/>
      <c r="O63" s="58" t="b">
        <f t="shared" si="0"/>
        <v>0</v>
      </c>
      <c r="T63" s="85">
        <f>$U$22+$B$38/100</f>
        <v>7.7376600000000009</v>
      </c>
      <c r="U63" s="28">
        <f>$X$23</f>
        <v>5.4484036177400011E-2</v>
      </c>
    </row>
    <row r="64" spans="5:21" ht="15" x14ac:dyDescent="0.2">
      <c r="E64" s="72">
        <v>-4.8</v>
      </c>
      <c r="F64" s="73">
        <f t="shared" ref="F64:F113" si="6">$B$16+$E64*$B$17</f>
        <v>-14.257202064893399</v>
      </c>
      <c r="G64" s="73">
        <f t="shared" ref="G64:G113" si="7">NORMDIST($F64,$B$16,$B$17,FALSE)</f>
        <v>9.2803157130600422E-7</v>
      </c>
      <c r="H64" s="73">
        <f t="shared" ref="H64:H113" si="8">EXP($R$26+$E64*$R$27)</f>
        <v>0.77467585658883664</v>
      </c>
      <c r="I64" s="73">
        <f t="shared" si="5"/>
        <v>0.77467585658883664</v>
      </c>
      <c r="J64" s="73">
        <f t="shared" ref="J64:J113" si="9">1/$H64/SQRT(2*PI())/$R$27*EXP(-POWER(LN($H64)-$R$26,2)/2/POWER($R$27,2))</f>
        <v>1.2430476691831271E-5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8.6843400000000006</v>
      </c>
      <c r="U64" s="28">
        <f>$X$23</f>
        <v>5.4484036177400011E-2</v>
      </c>
    </row>
    <row r="65" spans="5:21" ht="15" x14ac:dyDescent="0.2">
      <c r="E65" s="72">
        <v>-4.5999999999999996</v>
      </c>
      <c r="F65" s="73">
        <f t="shared" si="6"/>
        <v>-13.403502856049158</v>
      </c>
      <c r="G65" s="73">
        <f t="shared" si="7"/>
        <v>2.3757435781662898E-6</v>
      </c>
      <c r="H65" s="73">
        <f t="shared" si="8"/>
        <v>0.84110639688943245</v>
      </c>
      <c r="I65" s="73">
        <f t="shared" si="5"/>
        <v>0.84110639688943245</v>
      </c>
      <c r="J65" s="73">
        <f t="shared" si="9"/>
        <v>2.9308506053057292E-5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8.7036600000000011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-12.549803647204918</v>
      </c>
      <c r="G66" s="73">
        <f t="shared" si="7"/>
        <v>5.8433862961689323E-6</v>
      </c>
      <c r="H66" s="73">
        <f t="shared" si="8"/>
        <v>0.91323353486645598</v>
      </c>
      <c r="I66" s="73">
        <f t="shared" si="5"/>
        <v>0.91323353486645598</v>
      </c>
      <c r="J66" s="73">
        <f t="shared" si="9"/>
        <v>6.63938419752332E-5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9.6503399999999999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-11.696104438360674</v>
      </c>
      <c r="G67" s="73">
        <f t="shared" si="7"/>
        <v>1.3808860813245524E-5</v>
      </c>
      <c r="H67" s="73">
        <f t="shared" si="8"/>
        <v>0.99154576910715819</v>
      </c>
      <c r="I67" s="73">
        <f t="shared" si="5"/>
        <v>0.99154576910715819</v>
      </c>
      <c r="J67" s="73">
        <f t="shared" si="9"/>
        <v>1.4450741755853136E-4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9.6696600000000004</v>
      </c>
      <c r="U67" s="28">
        <f>$X$25</f>
        <v>5.4484036177400011E-2</v>
      </c>
    </row>
    <row r="68" spans="5:21" ht="15" x14ac:dyDescent="0.2">
      <c r="E68" s="72">
        <v>-4</v>
      </c>
      <c r="F68" s="73">
        <f t="shared" si="6"/>
        <v>-10.84240522951643</v>
      </c>
      <c r="G68" s="73">
        <f t="shared" si="7"/>
        <v>3.1353016232981582E-5</v>
      </c>
      <c r="H68" s="73">
        <f t="shared" si="8"/>
        <v>1.0765734882677909</v>
      </c>
      <c r="I68" s="73">
        <f t="shared" si="5"/>
        <v>1.0765734882677909</v>
      </c>
      <c r="J68" s="73">
        <f t="shared" si="9"/>
        <v>3.0219042553595308E-4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10.616340000000001</v>
      </c>
      <c r="U68" s="28">
        <f>$X$25</f>
        <v>5.4484036177400011E-2</v>
      </c>
    </row>
    <row r="69" spans="5:21" ht="15" x14ac:dyDescent="0.2">
      <c r="E69" s="72">
        <v>-3.8</v>
      </c>
      <c r="F69" s="73">
        <f t="shared" si="6"/>
        <v>-9.9887060206721863</v>
      </c>
      <c r="G69" s="73">
        <f t="shared" si="7"/>
        <v>6.8395735351964215E-5</v>
      </c>
      <c r="H69" s="73">
        <f t="shared" si="8"/>
        <v>1.1688925632598033</v>
      </c>
      <c r="I69" s="73">
        <f t="shared" si="5"/>
        <v>1.1688925632598033</v>
      </c>
      <c r="J69" s="73">
        <f t="shared" si="9"/>
        <v>6.0715486770535889E-4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10.635660000000001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-9.1350068118279459</v>
      </c>
      <c r="G70" s="73">
        <f t="shared" si="7"/>
        <v>1.4335305076413943E-4</v>
      </c>
      <c r="H70" s="73">
        <f t="shared" si="8"/>
        <v>1.2691282474756727</v>
      </c>
      <c r="I70" s="73">
        <f t="shared" si="5"/>
        <v>1.2691282474756727</v>
      </c>
      <c r="J70" s="73">
        <f t="shared" si="9"/>
        <v>1.1720509275638359E-3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11.58234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-8.2813076029837021</v>
      </c>
      <c r="G71" s="73">
        <f t="shared" si="7"/>
        <v>2.8867759410043875E-4</v>
      </c>
      <c r="H71" s="73">
        <f t="shared" si="8"/>
        <v>1.3779594114696014</v>
      </c>
      <c r="I71" s="73">
        <f t="shared" si="5"/>
        <v>1.3779594114696014</v>
      </c>
      <c r="J71" s="73">
        <f t="shared" si="9"/>
        <v>2.1738106159776989E-3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11.601660000000001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-7.4276083941394608</v>
      </c>
      <c r="G72" s="73">
        <f t="shared" si="7"/>
        <v>5.5853119617914912E-4</v>
      </c>
      <c r="H72" s="73">
        <f t="shared" si="8"/>
        <v>1.4961231407734836</v>
      </c>
      <c r="I72" s="73">
        <f t="shared" si="5"/>
        <v>1.4961231407734836</v>
      </c>
      <c r="J72" s="73">
        <f t="shared" si="9"/>
        <v>3.8736925511411559E-3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12.548340000000001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-6.5739091852952187</v>
      </c>
      <c r="G73" s="73">
        <f t="shared" si="7"/>
        <v>1.0382693028234016E-3</v>
      </c>
      <c r="H73" s="73">
        <f t="shared" si="8"/>
        <v>1.62441972798797</v>
      </c>
      <c r="I73" s="73">
        <f t="shared" si="5"/>
        <v>1.62441972798797</v>
      </c>
      <c r="J73" s="73">
        <f t="shared" si="9"/>
        <v>6.632187753623558E-3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12.567660000000002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-5.7202099764509748</v>
      </c>
      <c r="G74" s="73">
        <f t="shared" si="7"/>
        <v>1.8543888763106822E-3</v>
      </c>
      <c r="H74" s="73">
        <f t="shared" si="8"/>
        <v>1.7637180929587808</v>
      </c>
      <c r="I74" s="73">
        <f t="shared" si="5"/>
        <v>1.7637180929587808</v>
      </c>
      <c r="J74" s="73">
        <f t="shared" si="9"/>
        <v>1.0909797684865188E-2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13.514340000000001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-4.8665107676067327</v>
      </c>
      <c r="G75" s="73">
        <f t="shared" si="7"/>
        <v>3.1821440369083969E-3</v>
      </c>
      <c r="H75" s="73">
        <f t="shared" si="8"/>
        <v>1.9149616677477312</v>
      </c>
      <c r="I75" s="73">
        <f t="shared" si="5"/>
        <v>1.9149616677477312</v>
      </c>
      <c r="J75" s="73">
        <f t="shared" si="9"/>
        <v>1.724268134577904E-2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13.533660000000001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-4.0128115587624889</v>
      </c>
      <c r="G76" s="73">
        <f t="shared" si="7"/>
        <v>5.246468560082449E-3</v>
      </c>
      <c r="H76" s="73">
        <f t="shared" si="8"/>
        <v>2.0791747862558632</v>
      </c>
      <c r="I76" s="73">
        <f t="shared" si="5"/>
        <v>2.0791747862558632</v>
      </c>
      <c r="J76" s="73">
        <f t="shared" si="9"/>
        <v>2.6183103852641304E-2</v>
      </c>
      <c r="K76" s="73">
        <f t="shared" si="10"/>
        <v>8.1975359245961138E-3</v>
      </c>
      <c r="M76" s="56"/>
      <c r="N76" s="57"/>
      <c r="O76" s="58" t="b">
        <f t="shared" si="11"/>
        <v>0</v>
      </c>
      <c r="T76" s="85">
        <f>$U$29-$B$38/100</f>
        <v>14.480340000000002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-3.1591123499182485</v>
      </c>
      <c r="G77" s="73">
        <f t="shared" si="7"/>
        <v>8.3107943591180632E-3</v>
      </c>
      <c r="H77" s="73">
        <f t="shared" si="8"/>
        <v>2.2574696217739665</v>
      </c>
      <c r="I77" s="73">
        <f t="shared" si="5"/>
        <v>2.2574696217739665</v>
      </c>
      <c r="J77" s="73">
        <f t="shared" si="9"/>
        <v>3.8200203376479981E-2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14.499660000000002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-2.3054131410740046</v>
      </c>
      <c r="G78" s="73">
        <f t="shared" si="7"/>
        <v>1.26487095112299E-2</v>
      </c>
      <c r="H78" s="73">
        <f t="shared" si="8"/>
        <v>2.451053719446731</v>
      </c>
      <c r="I78" s="73">
        <f t="shared" si="5"/>
        <v>2.451053719446731</v>
      </c>
      <c r="J78" s="73">
        <f t="shared" si="9"/>
        <v>5.354740667225228E-2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15.446340000000001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-1.4517139322297625</v>
      </c>
      <c r="G79" s="73">
        <f t="shared" si="7"/>
        <v>1.8496012994501581E-2</v>
      </c>
      <c r="H79" s="73">
        <f t="shared" si="8"/>
        <v>2.6612381746659812</v>
      </c>
      <c r="I79" s="73">
        <f t="shared" si="5"/>
        <v>2.6612381746659812</v>
      </c>
      <c r="J79" s="73">
        <f t="shared" si="9"/>
        <v>7.2117295349161462E-2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15.465660000000002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-0.59801472338551953</v>
      </c>
      <c r="G80" s="73">
        <f t="shared" si="7"/>
        <v>2.5985928891657916E-2</v>
      </c>
      <c r="H80" s="73">
        <f t="shared" si="8"/>
        <v>2.8894465127831492</v>
      </c>
      <c r="I80" s="73">
        <f t="shared" si="5"/>
        <v>2.8894465127831492</v>
      </c>
      <c r="J80" s="73">
        <f t="shared" si="9"/>
        <v>9.3318691323313815E-2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16.41234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0.25568448545872347</v>
      </c>
      <c r="G81" s="73">
        <f t="shared" si="7"/>
        <v>3.5077334987448174E-2</v>
      </c>
      <c r="H81" s="73">
        <f t="shared" si="8"/>
        <v>3.1372243302809952</v>
      </c>
      <c r="I81" s="73">
        <f t="shared" si="5"/>
        <v>3.1372243302809952</v>
      </c>
      <c r="J81" s="73">
        <f t="shared" si="9"/>
        <v>0.11601818562995313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16.431660000000001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1.1093836943029665</v>
      </c>
      <c r="G82" s="73">
        <f t="shared" si="7"/>
        <v>4.5492851105275463E-2</v>
      </c>
      <c r="H82" s="73">
        <f t="shared" si="8"/>
        <v>3.4062497627017634</v>
      </c>
      <c r="I82" s="73">
        <f t="shared" si="5"/>
        <v>3.4062497627017634</v>
      </c>
      <c r="J82" s="73">
        <f t="shared" si="9"/>
        <v>0.13858356200449037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17.378340000000001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1.9630829031472086</v>
      </c>
      <c r="G83" s="73">
        <f t="shared" si="7"/>
        <v>5.6687583170360156E-2</v>
      </c>
      <c r="H83" s="73">
        <f t="shared" si="8"/>
        <v>3.6983448502283549</v>
      </c>
      <c r="I83" s="73">
        <f t="shared" si="5"/>
        <v>3.6983448502283549</v>
      </c>
      <c r="J83" s="73">
        <f t="shared" si="9"/>
        <v>0.15904703998713504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17.397660000000002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2.8167821119914511</v>
      </c>
      <c r="G84" s="73">
        <f t="shared" si="7"/>
        <v>6.7867358844966877E-2</v>
      </c>
      <c r="H84" s="73">
        <f t="shared" si="8"/>
        <v>4.0154878778946896</v>
      </c>
      <c r="I84" s="73">
        <f t="shared" si="5"/>
        <v>4.0154878778946896</v>
      </c>
      <c r="J84" s="73">
        <f t="shared" si="9"/>
        <v>0.17537499947279309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18.344340000000003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3.6704813208356941</v>
      </c>
      <c r="G85" s="73">
        <f t="shared" si="7"/>
        <v>7.8066044677006716E-2</v>
      </c>
      <c r="H85" s="73">
        <f t="shared" si="8"/>
        <v>4.3598267740023244</v>
      </c>
      <c r="I85" s="73">
        <f t="shared" si="5"/>
        <v>4.3598267740023244</v>
      </c>
      <c r="J85" s="73">
        <f t="shared" si="9"/>
        <v>0.1857966996661283</v>
      </c>
      <c r="K85" s="73">
        <f t="shared" si="10"/>
        <v>0.27425311775007355</v>
      </c>
      <c r="M85" s="56"/>
      <c r="N85" s="57"/>
      <c r="O85" s="58" t="b">
        <f t="shared" si="11"/>
        <v>0</v>
      </c>
      <c r="T85" s="85">
        <f>$U$33+$B$38/100</f>
        <v>18.363660000000003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4.5241805296799367</v>
      </c>
      <c r="G86" s="73">
        <f t="shared" si="7"/>
        <v>8.6276322266222033E-2</v>
      </c>
      <c r="H86" s="73">
        <f t="shared" si="8"/>
        <v>4.7336936574873709</v>
      </c>
      <c r="I86" s="73">
        <f t="shared" si="5"/>
        <v>4.7336936574873709</v>
      </c>
      <c r="J86" s="73">
        <f t="shared" si="9"/>
        <v>0.1891195947444804</v>
      </c>
      <c r="K86" s="73">
        <f t="shared" si="10"/>
        <v>0.34457825838967576</v>
      </c>
      <c r="M86" s="56"/>
      <c r="N86" s="57"/>
      <c r="O86" s="58" t="b">
        <f t="shared" si="11"/>
        <v>0</v>
      </c>
      <c r="T86" s="85">
        <f>$U$34-$B$38/100</f>
        <v>19.31034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5.3778797385241788</v>
      </c>
      <c r="G87" s="73">
        <f t="shared" si="7"/>
        <v>9.1611352083799724E-2</v>
      </c>
      <c r="H87" s="73">
        <f t="shared" si="8"/>
        <v>5.1396206327632896</v>
      </c>
      <c r="I87" s="73">
        <f t="shared" si="5"/>
        <v>5.1396206327632896</v>
      </c>
      <c r="J87" s="73">
        <f t="shared" si="9"/>
        <v>0.1849538102059646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19.329660000000001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6.2315789473684218</v>
      </c>
      <c r="G88" s="73">
        <f t="shared" si="7"/>
        <v>9.3462024157555404E-2</v>
      </c>
      <c r="H88" s="73">
        <f t="shared" si="8"/>
        <v>5.5803569390139813</v>
      </c>
      <c r="I88" s="73">
        <f t="shared" si="5"/>
        <v>5.5803569390139813</v>
      </c>
      <c r="J88" s="73">
        <f t="shared" si="9"/>
        <v>0.17378738857125112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20.276340000000001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7.0852781562126648</v>
      </c>
      <c r="G89" s="73">
        <f t="shared" si="7"/>
        <v>9.1611352083799724E-2</v>
      </c>
      <c r="H89" s="73">
        <f t="shared" si="8"/>
        <v>6.058887570084921</v>
      </c>
      <c r="I89" s="73">
        <f t="shared" si="5"/>
        <v>6.058887570084921</v>
      </c>
      <c r="J89" s="73">
        <f t="shared" si="9"/>
        <v>0.15689223608244601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20.295660000000002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7.9389773650569069</v>
      </c>
      <c r="G90" s="73">
        <f t="shared" si="7"/>
        <v>8.6276322266222033E-2</v>
      </c>
      <c r="H90" s="73">
        <f t="shared" si="8"/>
        <v>6.5784534910800945</v>
      </c>
      <c r="I90" s="73">
        <f t="shared" si="5"/>
        <v>6.5784534910800945</v>
      </c>
      <c r="J90" s="73">
        <f t="shared" si="9"/>
        <v>0.13608581824928934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21.242340000000002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8.792676573901149</v>
      </c>
      <c r="G91" s="73">
        <f t="shared" si="7"/>
        <v>7.806604467700673E-2</v>
      </c>
      <c r="H91" s="73">
        <f t="shared" si="8"/>
        <v>7.142573588586548</v>
      </c>
      <c r="I91" s="73">
        <f t="shared" si="5"/>
        <v>7.142573588586548</v>
      </c>
      <c r="J91" s="73">
        <f t="shared" si="9"/>
        <v>0.11341030171814515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21.261660000000003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9.6463757827454355</v>
      </c>
      <c r="G92" s="73">
        <f t="shared" si="7"/>
        <v>6.786735884496635E-2</v>
      </c>
      <c r="H92" s="73">
        <f t="shared" si="8"/>
        <v>7.7550685031898157</v>
      </c>
      <c r="I92" s="73">
        <f t="shared" si="5"/>
        <v>7.7550685031898157</v>
      </c>
      <c r="J92" s="73">
        <f t="shared" si="9"/>
        <v>9.0807216490624759E-2</v>
      </c>
      <c r="K92" s="73">
        <f t="shared" si="10"/>
        <v>0.78814460141660614</v>
      </c>
      <c r="M92" s="56"/>
      <c r="N92" s="57"/>
      <c r="O92" s="58" t="b">
        <f t="shared" si="11"/>
        <v>0</v>
      </c>
      <c r="T92" s="85">
        <f>$U$37-$B$38/100</f>
        <v>22.208340000000003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10.500074991589678</v>
      </c>
      <c r="G93" s="73">
        <f t="shared" si="7"/>
        <v>5.6687583170359594E-2</v>
      </c>
      <c r="H93" s="73">
        <f t="shared" si="8"/>
        <v>8.4200865056915539</v>
      </c>
      <c r="I93" s="73">
        <f t="shared" si="5"/>
        <v>8.4200865056915539</v>
      </c>
      <c r="J93" s="73">
        <f t="shared" si="9"/>
        <v>6.985804728762314E-2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22.227660000000004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11.35377420043392</v>
      </c>
      <c r="G94" s="73">
        <f t="shared" si="7"/>
        <v>4.5492851105274922E-2</v>
      </c>
      <c r="H94" s="73">
        <f t="shared" si="8"/>
        <v>9.1421315922828104</v>
      </c>
      <c r="I94" s="73">
        <f t="shared" si="5"/>
        <v>9.1421315922828104</v>
      </c>
      <c r="J94" s="73">
        <f t="shared" si="9"/>
        <v>5.1634590951483227E-2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23.174340000000001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12.207473409278162</v>
      </c>
      <c r="G95" s="73">
        <f t="shared" si="7"/>
        <v>3.5077334987447695E-2</v>
      </c>
      <c r="H95" s="73">
        <f t="shared" si="8"/>
        <v>9.9260939889537454</v>
      </c>
      <c r="I95" s="73">
        <f t="shared" si="5"/>
        <v>9.9260939889537454</v>
      </c>
      <c r="J95" s="73">
        <f t="shared" si="9"/>
        <v>3.6668509800369641E-2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23.193660000000001</v>
      </c>
      <c r="U95" s="28">
        <f>$X$39</f>
        <v>5.4484036177400011E-2</v>
      </c>
    </row>
    <row r="96" spans="5:21" ht="15" x14ac:dyDescent="0.2">
      <c r="E96" s="72">
        <v>1.6000000000000101</v>
      </c>
      <c r="F96" s="73">
        <f t="shared" si="6"/>
        <v>13.061172618122406</v>
      </c>
      <c r="G96" s="73">
        <f t="shared" si="7"/>
        <v>2.5985928891657503E-2</v>
      </c>
      <c r="H96" s="73">
        <f t="shared" si="8"/>
        <v>10.777283271738723</v>
      </c>
      <c r="I96" s="73">
        <f t="shared" si="5"/>
        <v>10.777283271738723</v>
      </c>
      <c r="J96" s="73">
        <f t="shared" si="9"/>
        <v>2.5019233551066396E-2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24.140340000000002</v>
      </c>
      <c r="U96" s="28">
        <f>$X$39</f>
        <v>5.4484036177400011E-2</v>
      </c>
    </row>
    <row r="97" spans="5:21" ht="15" x14ac:dyDescent="0.2">
      <c r="E97" s="72">
        <v>1.80000000000001</v>
      </c>
      <c r="F97" s="73">
        <f t="shared" si="6"/>
        <v>13.91487182696665</v>
      </c>
      <c r="G97" s="73">
        <f t="shared" si="7"/>
        <v>1.8496012994501241E-2</v>
      </c>
      <c r="H97" s="73">
        <f t="shared" si="8"/>
        <v>11.701464327111621</v>
      </c>
      <c r="I97" s="73">
        <f t="shared" si="5"/>
        <v>11.701464327111621</v>
      </c>
      <c r="J97" s="73">
        <f t="shared" si="9"/>
        <v>1.6401477120446852E-2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24.159660000000002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14.768571035810893</v>
      </c>
      <c r="G98" s="73">
        <f t="shared" si="7"/>
        <v>1.264870951122964E-2</v>
      </c>
      <c r="H98" s="73">
        <f t="shared" si="8"/>
        <v>12.704896396081788</v>
      </c>
      <c r="I98" s="73">
        <f t="shared" si="5"/>
        <v>12.704896396081788</v>
      </c>
      <c r="J98" s="73">
        <f t="shared" si="9"/>
        <v>1.0330471512638606E-2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15.622270244655134</v>
      </c>
      <c r="G99" s="73">
        <f t="shared" si="7"/>
        <v>8.3107943591178846E-3</v>
      </c>
      <c r="H99" s="73">
        <f t="shared" si="8"/>
        <v>13.794375466426372</v>
      </c>
      <c r="I99" s="73">
        <f t="shared" si="5"/>
        <v>13.794375466426372</v>
      </c>
      <c r="J99" s="73">
        <f t="shared" si="9"/>
        <v>6.2515188801316205E-3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16.475969453499378</v>
      </c>
      <c r="G100" s="73">
        <f t="shared" si="7"/>
        <v>5.2464685600823215E-3</v>
      </c>
      <c r="H100" s="73">
        <f t="shared" si="8"/>
        <v>14.977280300170724</v>
      </c>
      <c r="I100" s="73">
        <f t="shared" si="5"/>
        <v>14.977280300170724</v>
      </c>
      <c r="J100" s="73">
        <f t="shared" si="9"/>
        <v>3.6347887109857173E-3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17.329668662343618</v>
      </c>
      <c r="G101" s="73">
        <f t="shared" si="7"/>
        <v>3.1821440369083197E-3</v>
      </c>
      <c r="H101" s="73">
        <f t="shared" si="8"/>
        <v>16.261622408049117</v>
      </c>
      <c r="I101" s="73">
        <f t="shared" si="5"/>
        <v>16.261622408049117</v>
      </c>
      <c r="J101" s="73">
        <f t="shared" si="9"/>
        <v>2.0304907467296311E-3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18.183367871187862</v>
      </c>
      <c r="G102" s="73">
        <f t="shared" si="7"/>
        <v>1.8543888763106297E-3</v>
      </c>
      <c r="H102" s="73">
        <f t="shared" si="8"/>
        <v>17.65610030941005</v>
      </c>
      <c r="I102" s="73">
        <f t="shared" si="5"/>
        <v>17.65610030941005</v>
      </c>
      <c r="J102" s="73">
        <f t="shared" si="9"/>
        <v>1.0898107300093211E-3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19.037067080032106</v>
      </c>
      <c r="G103" s="73">
        <f t="shared" si="7"/>
        <v>1.0382693028233706E-3</v>
      </c>
      <c r="H103" s="73">
        <f t="shared" si="8"/>
        <v>19.170158445054444</v>
      </c>
      <c r="I103" s="73">
        <f t="shared" si="5"/>
        <v>19.170158445054444</v>
      </c>
      <c r="J103" s="73">
        <f t="shared" si="9"/>
        <v>5.619910058430092E-4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19.890766288876346</v>
      </c>
      <c r="G104" s="73">
        <f t="shared" si="7"/>
        <v>5.5853119617913275E-4</v>
      </c>
      <c r="H104" s="73">
        <f t="shared" si="8"/>
        <v>20.814051142008466</v>
      </c>
      <c r="I104" s="73">
        <f t="shared" si="5"/>
        <v>20.814051142008466</v>
      </c>
      <c r="J104" s="73">
        <f t="shared" si="9"/>
        <v>2.7844272248889705E-4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20.74446549772059</v>
      </c>
      <c r="G105" s="73">
        <f t="shared" si="7"/>
        <v>2.8867759410042878E-4</v>
      </c>
      <c r="H105" s="73">
        <f t="shared" si="8"/>
        <v>22.598912063447667</v>
      </c>
      <c r="I105" s="73">
        <f t="shared" si="5"/>
        <v>22.598912063447667</v>
      </c>
      <c r="J105" s="73">
        <f t="shared" si="9"/>
        <v>1.325472123892109E-4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21.59816470656483</v>
      </c>
      <c r="G106" s="73">
        <f t="shared" si="7"/>
        <v>1.4335305076413458E-4</v>
      </c>
      <c r="H106" s="73">
        <f t="shared" si="8"/>
        <v>24.536829614139162</v>
      </c>
      <c r="I106" s="73">
        <f t="shared" si="5"/>
        <v>24.536829614139162</v>
      </c>
      <c r="J106" s="73">
        <f t="shared" si="9"/>
        <v>6.0622458689370527E-5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22.451863915409074</v>
      </c>
      <c r="G107" s="73">
        <f t="shared" si="7"/>
        <v>6.8395735351961735E-5</v>
      </c>
      <c r="H107" s="73">
        <f t="shared" si="8"/>
        <v>26.640928812103517</v>
      </c>
      <c r="I107" s="73">
        <f t="shared" si="5"/>
        <v>26.640928812103517</v>
      </c>
      <c r="J107" s="73">
        <f t="shared" si="9"/>
        <v>2.6639416914222777E-5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23.305563124253318</v>
      </c>
      <c r="G108" s="73">
        <f t="shared" si="7"/>
        <v>3.1353016232980356E-5</v>
      </c>
      <c r="H108" s="73">
        <f t="shared" si="8"/>
        <v>28.92546018099198</v>
      </c>
      <c r="I108" s="73">
        <f t="shared" si="5"/>
        <v>28.92546018099198</v>
      </c>
      <c r="J108" s="73">
        <f t="shared" si="9"/>
        <v>1.1247191868502883E-5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24.159262333097562</v>
      </c>
      <c r="G109" s="73">
        <f t="shared" si="7"/>
        <v>1.380886081324496E-5</v>
      </c>
      <c r="H109" s="73">
        <f t="shared" si="8"/>
        <v>31.40589626522446</v>
      </c>
      <c r="I109" s="73">
        <f t="shared" si="5"/>
        <v>31.40589626522446</v>
      </c>
      <c r="J109" s="73">
        <f t="shared" si="9"/>
        <v>4.5623827218526869E-6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25.012961541941802</v>
      </c>
      <c r="G110" s="73">
        <f t="shared" si="7"/>
        <v>5.8433862961686833E-6</v>
      </c>
      <c r="H110" s="73">
        <f t="shared" si="8"/>
        <v>34.099036421560392</v>
      </c>
      <c r="I110" s="73">
        <f t="shared" si="5"/>
        <v>34.099036421560392</v>
      </c>
      <c r="J110" s="73">
        <f t="shared" si="9"/>
        <v>1.7781465215265367E-6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25.866660750786046</v>
      </c>
      <c r="G111" s="73">
        <f t="shared" si="7"/>
        <v>2.3757435781661716E-6</v>
      </c>
      <c r="H111" s="73">
        <f t="shared" si="8"/>
        <v>37.023120596828832</v>
      </c>
      <c r="I111" s="73">
        <f t="shared" si="5"/>
        <v>37.023120596828832</v>
      </c>
      <c r="J111" s="73">
        <f t="shared" si="9"/>
        <v>6.6584262825779775E-7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26.720359959630287</v>
      </c>
      <c r="G112" s="73">
        <f t="shared" si="7"/>
        <v>9.2803157130596134E-7</v>
      </c>
      <c r="H112" s="73">
        <f t="shared" si="8"/>
        <v>40.197952862405444</v>
      </c>
      <c r="I112" s="73">
        <f t="shared" si="5"/>
        <v>40.197952862405444</v>
      </c>
      <c r="J112" s="73">
        <f t="shared" si="9"/>
        <v>2.3955424327235956E-7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27.574059168474488</v>
      </c>
      <c r="G113" s="73">
        <f t="shared" si="7"/>
        <v>3.4830054879564721E-7</v>
      </c>
      <c r="H113" s="73">
        <f t="shared" si="8"/>
        <v>43.645035542103102</v>
      </c>
      <c r="I113" s="73">
        <f t="shared" si="5"/>
        <v>43.645035542103102</v>
      </c>
      <c r="J113" s="73">
        <f t="shared" si="9"/>
        <v>8.2806487076914787E-8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-0.49853093724240743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169.83081135028476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-4.0189147633561406E-3</v>
      </c>
      <c r="H120" s="69" t="s">
        <v>50</v>
      </c>
      <c r="I120" s="79">
        <f>IF($B$9&gt;3,INDEX(XX!$C$4:$C$150,$B$9))</f>
        <v>0.42270000000000002</v>
      </c>
      <c r="J120" s="79">
        <f>IF($B$9&gt;3,INDEX(XX!$D$4:$D$150,$B$9))</f>
        <v>0.53680000000000005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3.4</v>
      </c>
      <c r="H122" s="11"/>
      <c r="I122" s="79">
        <f>IF((ABS($G$118)&gt;$I$120)*AND(ABS($G$118)&lt;$J$120),G$119+G$120*G122,0)</f>
        <v>169.81714704008934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41569</v>
      </c>
      <c r="H123" s="11"/>
      <c r="I123" s="79">
        <f>IF((ABS($G$118)&gt;$I$120)*AND(ABS($G$118)&lt;$J$120),G$119+G$120*G123,0)</f>
        <v>2.768543552333341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DepV&amp;R&amp;G</oddHeader>
    <oddFooter>&amp;L&amp;G&amp;RVersion 2.1 (2018)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B36" sqref="B36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143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35797</v>
      </c>
      <c r="N3" s="57">
        <v>4</v>
      </c>
      <c r="O3" s="58">
        <f t="shared" ref="O3:O66" si="0">IF($N3&gt;0,LN($N3+$B$26))</f>
        <v>1.3862943611198906</v>
      </c>
      <c r="T3" s="69" t="s">
        <v>109</v>
      </c>
      <c r="U3" s="82">
        <f>$B$21</f>
        <v>27.483612343076366</v>
      </c>
      <c r="V3" s="82">
        <f t="shared" ref="V3:V10" si="1">U3</f>
        <v>27.483612343076366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35887</v>
      </c>
      <c r="N4" s="57">
        <v>2</v>
      </c>
      <c r="O4" s="58">
        <f t="shared" si="0"/>
        <v>0.69314718055994529</v>
      </c>
      <c r="T4" s="69" t="s">
        <v>111</v>
      </c>
      <c r="U4" s="82">
        <f>$B$31</f>
        <v>22.812003312071255</v>
      </c>
      <c r="V4" s="82">
        <f t="shared" si="1"/>
        <v>22.812003312071255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35978</v>
      </c>
      <c r="N5" s="57">
        <v>4</v>
      </c>
      <c r="O5" s="58">
        <f t="shared" si="0"/>
        <v>1.3862943611198906</v>
      </c>
      <c r="T5" s="69" t="s">
        <v>110</v>
      </c>
      <c r="U5" s="82">
        <f>$B$22</f>
        <v>31.025892909616815</v>
      </c>
      <c r="V5" s="82">
        <f t="shared" si="1"/>
        <v>31.025892909616815</v>
      </c>
    </row>
    <row r="6" spans="1:24" ht="15" customHeight="1" x14ac:dyDescent="0.25">
      <c r="A6" s="107" t="s">
        <v>18</v>
      </c>
      <c r="B6" s="116">
        <v>14</v>
      </c>
      <c r="C6" s="18"/>
      <c r="M6" s="56">
        <v>36070</v>
      </c>
      <c r="N6" s="57">
        <v>4</v>
      </c>
      <c r="O6" s="58">
        <f t="shared" si="0"/>
        <v>1.3862943611198906</v>
      </c>
      <c r="T6" s="69" t="s">
        <v>29</v>
      </c>
      <c r="U6" s="82">
        <f>$B$32</f>
        <v>31.992489735355413</v>
      </c>
      <c r="V6" s="82">
        <f t="shared" si="1"/>
        <v>31.992489735355413</v>
      </c>
    </row>
    <row r="7" spans="1:24" ht="15" customHeight="1" x14ac:dyDescent="0.2">
      <c r="D7" s="4"/>
      <c r="F7" s="5"/>
      <c r="M7" s="56">
        <v>36164</v>
      </c>
      <c r="N7" s="57">
        <v>6</v>
      </c>
      <c r="O7" s="58">
        <f t="shared" si="0"/>
        <v>1.791759469228055</v>
      </c>
      <c r="T7" s="69" t="s">
        <v>31</v>
      </c>
      <c r="U7" s="82">
        <f>$C$21</f>
        <v>-10.415119192391435</v>
      </c>
      <c r="V7" s="82">
        <f t="shared" si="1"/>
        <v>-10.415119192391435</v>
      </c>
    </row>
    <row r="8" spans="1:24" ht="15" customHeight="1" x14ac:dyDescent="0.25">
      <c r="A8" s="140" t="s">
        <v>12</v>
      </c>
      <c r="B8" s="140"/>
      <c r="C8" s="140"/>
      <c r="D8" s="4"/>
      <c r="M8" s="56">
        <v>36256</v>
      </c>
      <c r="N8" s="57">
        <v>7</v>
      </c>
      <c r="O8" s="58">
        <f t="shared" si="0"/>
        <v>1.9459101490553132</v>
      </c>
      <c r="T8" s="69" t="s">
        <v>32</v>
      </c>
      <c r="U8" s="82">
        <f>$C$31</f>
        <v>0.14559205920442997</v>
      </c>
      <c r="V8" s="82">
        <f t="shared" si="1"/>
        <v>0.14559205920442997</v>
      </c>
    </row>
    <row r="9" spans="1:24" ht="15" customHeight="1" x14ac:dyDescent="0.2">
      <c r="A9" s="101" t="s">
        <v>11</v>
      </c>
      <c r="B9" s="59">
        <f>COUNT($M$3:$M252)</f>
        <v>73</v>
      </c>
      <c r="C9" s="60"/>
      <c r="D9" s="4"/>
      <c r="M9" s="56">
        <v>36342</v>
      </c>
      <c r="N9" s="57">
        <v>6</v>
      </c>
      <c r="O9" s="58">
        <f t="shared" si="0"/>
        <v>1.791759469228055</v>
      </c>
      <c r="T9" s="69" t="s">
        <v>112</v>
      </c>
      <c r="U9" s="82">
        <f>$C$22</f>
        <v>-13.957399758931883</v>
      </c>
      <c r="V9" s="82">
        <f t="shared" si="1"/>
        <v>-13.957399758931883</v>
      </c>
    </row>
    <row r="10" spans="1:24" ht="15" customHeight="1" x14ac:dyDescent="0.2">
      <c r="A10" s="102" t="s">
        <v>7</v>
      </c>
      <c r="B10" s="61">
        <f>MIN($N$3:$N$252)</f>
        <v>1</v>
      </c>
      <c r="C10" s="60"/>
      <c r="D10" s="4"/>
      <c r="M10" s="56">
        <v>36479</v>
      </c>
      <c r="N10" s="57">
        <v>3</v>
      </c>
      <c r="O10" s="58">
        <f t="shared" si="0"/>
        <v>1.0986122886681098</v>
      </c>
      <c r="T10" s="69" t="s">
        <v>113</v>
      </c>
      <c r="U10" s="82">
        <f>$C$32</f>
        <v>-0.15745931692673665</v>
      </c>
      <c r="V10" s="82">
        <f t="shared" si="1"/>
        <v>-0.15745931692673665</v>
      </c>
    </row>
    <row r="11" spans="1:24" ht="15" customHeight="1" x14ac:dyDescent="0.2">
      <c r="A11" s="102" t="s">
        <v>8</v>
      </c>
      <c r="B11" s="61">
        <f>MAX($N$3:$N$252)</f>
        <v>57</v>
      </c>
      <c r="C11" s="60"/>
      <c r="D11" s="4"/>
      <c r="M11" s="56">
        <v>36571</v>
      </c>
      <c r="N11" s="57">
        <v>20</v>
      </c>
      <c r="O11" s="58">
        <f t="shared" si="0"/>
        <v>2.9957322735539909</v>
      </c>
      <c r="T11" s="69" t="s">
        <v>68</v>
      </c>
      <c r="U11" s="82">
        <f>$B$12</f>
        <v>5</v>
      </c>
      <c r="V11" s="82">
        <f>U11</f>
        <v>5</v>
      </c>
    </row>
    <row r="12" spans="1:24" ht="15" customHeight="1" x14ac:dyDescent="0.2">
      <c r="A12" s="102" t="s">
        <v>68</v>
      </c>
      <c r="B12" s="62">
        <f>MEDIAN($N$3:$N$252)</f>
        <v>5</v>
      </c>
      <c r="C12" s="50"/>
      <c r="D12" s="4"/>
      <c r="M12" s="56">
        <v>36661</v>
      </c>
      <c r="N12" s="57">
        <v>20</v>
      </c>
      <c r="O12" s="58">
        <f t="shared" si="0"/>
        <v>2.9957322735539909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36755</v>
      </c>
      <c r="N13" s="57">
        <v>10</v>
      </c>
      <c r="O13" s="58">
        <f t="shared" si="0"/>
        <v>2.3025850929940459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36843</v>
      </c>
      <c r="N14" s="57">
        <v>10</v>
      </c>
      <c r="O14" s="58">
        <f t="shared" si="0"/>
        <v>2.3025850929940459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36944</v>
      </c>
      <c r="N15" s="57">
        <v>10</v>
      </c>
      <c r="O15" s="58">
        <f t="shared" si="0"/>
        <v>2.3025850929940459</v>
      </c>
      <c r="T15" s="69">
        <v>1</v>
      </c>
      <c r="U15" s="77">
        <f t="shared" ref="U15:U39" si="3">$B$36+T15*$B$38</f>
        <v>2.3940000000000001</v>
      </c>
      <c r="V15" s="84">
        <f>FREQUENCY($N$3:$N$252,$U$15:$U$39)</f>
        <v>10</v>
      </c>
      <c r="W15" s="79">
        <f t="shared" ref="W15:W39" si="4">(U15+U14)/2</f>
        <v>1.1970000000000001</v>
      </c>
      <c r="X15" s="80">
        <f t="shared" si="2"/>
        <v>5.72206772639361E-2</v>
      </c>
    </row>
    <row r="16" spans="1:24" ht="15" customHeight="1" x14ac:dyDescent="0.2">
      <c r="A16" s="101" t="s">
        <v>73</v>
      </c>
      <c r="B16" s="63">
        <f>AVERAGE($N$3:$N$252)</f>
        <v>8.5342465753424666</v>
      </c>
      <c r="C16" s="60"/>
      <c r="M16" s="56">
        <v>37032</v>
      </c>
      <c r="N16" s="57">
        <v>11</v>
      </c>
      <c r="O16" s="58">
        <f t="shared" si="0"/>
        <v>2.3978952727983707</v>
      </c>
      <c r="T16" s="69">
        <v>2</v>
      </c>
      <c r="U16" s="77">
        <f t="shared" si="3"/>
        <v>4.7880000000000003</v>
      </c>
      <c r="V16" s="84">
        <f t="array" ref="V16:V40">FREQUENCY($N$3:$N$252,$U$15:$U$39)</f>
        <v>10</v>
      </c>
      <c r="W16" s="79">
        <f t="shared" si="4"/>
        <v>3.5910000000000002</v>
      </c>
      <c r="X16" s="80">
        <f t="shared" si="2"/>
        <v>5.72206772639361E-2</v>
      </c>
    </row>
    <row r="17" spans="1:24" ht="15" customHeight="1" x14ac:dyDescent="0.2">
      <c r="A17" s="102" t="s">
        <v>75</v>
      </c>
      <c r="B17" s="62">
        <f>STDEV($N$3:$N$252)</f>
        <v>9.668221414885215</v>
      </c>
      <c r="C17" s="60"/>
      <c r="D17" s="4"/>
      <c r="M17" s="56">
        <v>37118</v>
      </c>
      <c r="N17" s="57">
        <v>10</v>
      </c>
      <c r="O17" s="58">
        <f t="shared" si="0"/>
        <v>2.3025850929940459</v>
      </c>
      <c r="T17" s="69">
        <v>3</v>
      </c>
      <c r="U17" s="77">
        <f t="shared" si="3"/>
        <v>7.1820000000000004</v>
      </c>
      <c r="V17" s="84">
        <v>19</v>
      </c>
      <c r="W17" s="79">
        <f t="shared" si="4"/>
        <v>5.9850000000000003</v>
      </c>
      <c r="X17" s="80">
        <f t="shared" si="2"/>
        <v>0.10871928680147858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0.38311279876043264</v>
      </c>
      <c r="C18" s="114" t="s">
        <v>45</v>
      </c>
      <c r="D18" s="4"/>
      <c r="J18" s="6"/>
      <c r="M18" s="56">
        <v>37216</v>
      </c>
      <c r="N18" s="57">
        <v>10</v>
      </c>
      <c r="O18" s="58">
        <f t="shared" si="0"/>
        <v>2.3025850929940459</v>
      </c>
      <c r="T18" s="69">
        <v>4</v>
      </c>
      <c r="U18" s="77">
        <f t="shared" si="3"/>
        <v>9.5760000000000005</v>
      </c>
      <c r="V18" s="84">
        <v>16</v>
      </c>
      <c r="W18" s="79">
        <f t="shared" si="4"/>
        <v>8.3790000000000013</v>
      </c>
      <c r="X18" s="80">
        <f t="shared" si="2"/>
        <v>9.1553083622297748E-2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37258</v>
      </c>
      <c r="N19" s="57">
        <v>17</v>
      </c>
      <c r="O19" s="58">
        <f t="shared" si="0"/>
        <v>2.8332133440562162</v>
      </c>
      <c r="T19" s="69">
        <v>5</v>
      </c>
      <c r="U19" s="77">
        <f t="shared" si="3"/>
        <v>11.97</v>
      </c>
      <c r="V19" s="84">
        <v>2</v>
      </c>
      <c r="W19" s="79">
        <f t="shared" si="4"/>
        <v>10.773</v>
      </c>
      <c r="X19" s="80">
        <f t="shared" si="2"/>
        <v>1.1444135452787219E-2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37288</v>
      </c>
      <c r="N20" s="57">
        <v>1</v>
      </c>
      <c r="O20" s="58">
        <f t="shared" si="0"/>
        <v>0</v>
      </c>
      <c r="T20" s="69">
        <v>6</v>
      </c>
      <c r="U20" s="77">
        <f t="shared" si="3"/>
        <v>14.364000000000001</v>
      </c>
      <c r="V20" s="84">
        <v>17</v>
      </c>
      <c r="W20" s="79">
        <f t="shared" si="4"/>
        <v>13.167000000000002</v>
      </c>
      <c r="X20" s="80">
        <f t="shared" si="2"/>
        <v>9.7275151348691358E-2</v>
      </c>
    </row>
    <row r="21" spans="1:24" ht="15" customHeight="1" x14ac:dyDescent="0.2">
      <c r="A21" s="103" t="s">
        <v>76</v>
      </c>
      <c r="B21" s="62">
        <f>NORMINV(0.975,$B$16,$B$17)</f>
        <v>27.483612343076366</v>
      </c>
      <c r="C21" s="62">
        <f>NORMINV(0.025,$B$16,$B$17)</f>
        <v>-10.415119192391435</v>
      </c>
      <c r="D21" s="4"/>
      <c r="M21" s="56">
        <v>37314</v>
      </c>
      <c r="N21" s="57">
        <v>10</v>
      </c>
      <c r="O21" s="58">
        <f t="shared" si="0"/>
        <v>2.3025850929940459</v>
      </c>
      <c r="T21" s="69">
        <v>7</v>
      </c>
      <c r="U21" s="77">
        <f t="shared" si="3"/>
        <v>16.758000000000003</v>
      </c>
      <c r="V21" s="84">
        <v>0</v>
      </c>
      <c r="W21" s="79">
        <f t="shared" si="4"/>
        <v>15.561000000000002</v>
      </c>
      <c r="X21" s="80">
        <f t="shared" si="2"/>
        <v>0</v>
      </c>
    </row>
    <row r="22" spans="1:24" ht="15" customHeight="1" x14ac:dyDescent="0.2">
      <c r="A22" s="104" t="s">
        <v>77</v>
      </c>
      <c r="B22" s="62">
        <f>NORMINV(0.99,$B$16,$B$17)</f>
        <v>31.025892909616815</v>
      </c>
      <c r="C22" s="62">
        <f>NORMINV(0.01,B16,B17)</f>
        <v>-13.957399758931883</v>
      </c>
      <c r="M22" s="56">
        <v>37316</v>
      </c>
      <c r="N22" s="57">
        <v>4</v>
      </c>
      <c r="O22" s="58">
        <f t="shared" si="0"/>
        <v>1.3862943611198906</v>
      </c>
      <c r="T22" s="69">
        <v>8</v>
      </c>
      <c r="U22" s="77">
        <f t="shared" si="3"/>
        <v>19.152000000000001</v>
      </c>
      <c r="V22" s="84">
        <v>0</v>
      </c>
      <c r="W22" s="79">
        <f t="shared" si="4"/>
        <v>17.955000000000002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38.025892909616815</v>
      </c>
      <c r="E23" s="144" t="s">
        <v>80</v>
      </c>
      <c r="F23" s="144"/>
      <c r="G23" s="144"/>
      <c r="M23" s="56">
        <v>37348</v>
      </c>
      <c r="N23" s="57">
        <v>5</v>
      </c>
      <c r="O23" s="58">
        <f t="shared" si="0"/>
        <v>1.6094379124341003</v>
      </c>
      <c r="T23" s="69">
        <v>9</v>
      </c>
      <c r="U23" s="77">
        <f t="shared" si="3"/>
        <v>21.545999999999999</v>
      </c>
      <c r="V23" s="84">
        <v>1</v>
      </c>
      <c r="W23" s="79">
        <f t="shared" si="4"/>
        <v>20.349</v>
      </c>
      <c r="X23" s="80">
        <f t="shared" si="2"/>
        <v>5.7220677263936093E-3</v>
      </c>
    </row>
    <row r="24" spans="1:24" ht="15" customHeight="1" x14ac:dyDescent="0.2">
      <c r="M24" s="56">
        <v>37378</v>
      </c>
      <c r="N24" s="57">
        <v>29</v>
      </c>
      <c r="O24" s="58">
        <f t="shared" si="0"/>
        <v>3.3672958299864741</v>
      </c>
      <c r="T24" s="69">
        <v>10</v>
      </c>
      <c r="U24" s="77">
        <f t="shared" si="3"/>
        <v>23.94</v>
      </c>
      <c r="V24" s="84">
        <v>4</v>
      </c>
      <c r="W24" s="79">
        <f t="shared" si="4"/>
        <v>22.743000000000002</v>
      </c>
      <c r="X24" s="80">
        <f t="shared" si="2"/>
        <v>2.2888270905574437E-2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37399</v>
      </c>
      <c r="N25" s="57">
        <v>10</v>
      </c>
      <c r="O25" s="58">
        <f t="shared" si="0"/>
        <v>2.3025850929940459</v>
      </c>
      <c r="Q25" s="75" t="s">
        <v>68</v>
      </c>
      <c r="R25" s="75">
        <f>MEDIAN($O$3:$O$252)</f>
        <v>1.6094379124341003</v>
      </c>
      <c r="T25" s="69">
        <v>11</v>
      </c>
      <c r="U25" s="77">
        <f t="shared" si="3"/>
        <v>26.334000000000003</v>
      </c>
      <c r="V25" s="84">
        <v>0</v>
      </c>
      <c r="W25" s="79">
        <f t="shared" si="4"/>
        <v>25.137</v>
      </c>
      <c r="X25" s="80">
        <f t="shared" si="2"/>
        <v>0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37407</v>
      </c>
      <c r="N26" s="57">
        <v>49</v>
      </c>
      <c r="O26" s="58">
        <f t="shared" si="0"/>
        <v>3.8918202981106265</v>
      </c>
      <c r="Q26" s="75" t="s">
        <v>73</v>
      </c>
      <c r="R26" s="75">
        <f>AVERAGE($O$3:$O$252)</f>
        <v>1.7667599099297879</v>
      </c>
      <c r="T26" s="69">
        <v>12</v>
      </c>
      <c r="U26" s="77">
        <f t="shared" si="3"/>
        <v>28.728000000000002</v>
      </c>
      <c r="V26" s="84">
        <v>0</v>
      </c>
      <c r="W26" s="79">
        <f t="shared" si="4"/>
        <v>27.531000000000002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5.8518620510951749</v>
      </c>
      <c r="C27" s="62"/>
      <c r="E27" s="7" t="e">
        <f>STDEV(C50:C199)</f>
        <v>#DIV/0!</v>
      </c>
      <c r="F27" s="7" t="e">
        <f>NORMINV(0.025,$E26,$E27)</f>
        <v>#DIV/0!</v>
      </c>
      <c r="M27" s="56">
        <v>37438</v>
      </c>
      <c r="N27" s="57">
        <v>32</v>
      </c>
      <c r="O27" s="58">
        <f t="shared" si="0"/>
        <v>3.4657359027997265</v>
      </c>
      <c r="Q27" s="75" t="s">
        <v>104</v>
      </c>
      <c r="R27" s="75">
        <f>STDEV($O$3:$O$252)</f>
        <v>0.82714165337369638</v>
      </c>
      <c r="T27" s="69">
        <v>13</v>
      </c>
      <c r="U27" s="77">
        <f t="shared" si="3"/>
        <v>31.122</v>
      </c>
      <c r="V27" s="84">
        <v>0</v>
      </c>
      <c r="W27" s="79">
        <f t="shared" si="4"/>
        <v>29.925000000000001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0.19933610273778629</v>
      </c>
      <c r="C28" s="115" t="s">
        <v>45</v>
      </c>
      <c r="F28" s="7" t="e">
        <f>NORMINV(0.01,$E$26,$E$27)</f>
        <v>#DIV/0!</v>
      </c>
      <c r="M28" s="56">
        <v>37469</v>
      </c>
      <c r="N28" s="57">
        <v>57</v>
      </c>
      <c r="O28" s="58">
        <f t="shared" si="0"/>
        <v>4.0430512678345503</v>
      </c>
      <c r="Q28" s="75" t="s">
        <v>108</v>
      </c>
      <c r="R28" s="75">
        <f>NORMINV(0.025,$R$26,$R$27)</f>
        <v>0.14559205920442997</v>
      </c>
      <c r="T28" s="69">
        <v>14</v>
      </c>
      <c r="U28" s="77">
        <f t="shared" si="3"/>
        <v>33.516000000000005</v>
      </c>
      <c r="V28" s="84">
        <v>1</v>
      </c>
      <c r="W28" s="79">
        <f t="shared" si="4"/>
        <v>32.319000000000003</v>
      </c>
      <c r="X28" s="80">
        <f t="shared" si="2"/>
        <v>5.7220677263936093E-3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37488</v>
      </c>
      <c r="N29" s="57">
        <v>10</v>
      </c>
      <c r="O29" s="58">
        <f t="shared" si="0"/>
        <v>2.3025850929940459</v>
      </c>
      <c r="Q29" s="75" t="s">
        <v>107</v>
      </c>
      <c r="R29" s="75">
        <f>NORMINV(0.01,$R$26,$R$27)</f>
        <v>-0.15745931692673665</v>
      </c>
      <c r="T29" s="69">
        <v>15</v>
      </c>
      <c r="U29" s="77">
        <f t="shared" si="3"/>
        <v>35.910000000000004</v>
      </c>
      <c r="V29" s="84">
        <v>1</v>
      </c>
      <c r="W29" s="79">
        <f t="shared" si="4"/>
        <v>34.713000000000008</v>
      </c>
      <c r="X29" s="80">
        <f t="shared" si="2"/>
        <v>5.7220677263936093E-3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37501</v>
      </c>
      <c r="N30" s="57">
        <v>21</v>
      </c>
      <c r="O30" s="58">
        <f t="shared" si="0"/>
        <v>3.044522437723423</v>
      </c>
      <c r="Q30" s="75" t="s">
        <v>105</v>
      </c>
      <c r="R30" s="75">
        <f>NORMINV(0.95,$R$26,$R$27)</f>
        <v>3.1272868584841493</v>
      </c>
      <c r="T30" s="69">
        <v>16</v>
      </c>
      <c r="U30" s="77">
        <f t="shared" si="3"/>
        <v>38.304000000000002</v>
      </c>
      <c r="V30" s="84">
        <v>0</v>
      </c>
      <c r="W30" s="79">
        <f t="shared" si="4"/>
        <v>37.106999999999999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22.812003312071255</v>
      </c>
      <c r="C31" s="62">
        <f>NORMINV(0.025,$R$26,$R$27)</f>
        <v>0.14559205920442997</v>
      </c>
      <c r="E31" s="7" t="e">
        <f>NORMINV(0.98,$E$26,$E$27)</f>
        <v>#DIV/0!</v>
      </c>
      <c r="M31" s="56">
        <v>37530</v>
      </c>
      <c r="N31" s="57">
        <v>4</v>
      </c>
      <c r="O31" s="58">
        <f t="shared" si="0"/>
        <v>1.3862943611198906</v>
      </c>
      <c r="Q31" s="75" t="s">
        <v>106</v>
      </c>
      <c r="R31" s="75">
        <f>NORMINV(0.98,$R$26,$R$27)</f>
        <v>3.465501179484221</v>
      </c>
      <c r="T31" s="69">
        <v>17</v>
      </c>
      <c r="U31" s="77">
        <f t="shared" si="3"/>
        <v>40.698</v>
      </c>
      <c r="V31" s="84">
        <v>0</v>
      </c>
      <c r="W31" s="79">
        <f t="shared" si="4"/>
        <v>39.501000000000005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31.992489735355413</v>
      </c>
      <c r="C32" s="62">
        <f>NORMINV(0.01,$R$26,$R$27)</f>
        <v>-0.15745931692673665</v>
      </c>
      <c r="M32" s="56">
        <v>37560</v>
      </c>
      <c r="N32" s="57">
        <v>4</v>
      </c>
      <c r="O32" s="58">
        <f t="shared" si="0"/>
        <v>1.3862943611198906</v>
      </c>
      <c r="T32" s="69">
        <v>18</v>
      </c>
      <c r="U32" s="77">
        <f t="shared" si="3"/>
        <v>43.091999999999999</v>
      </c>
      <c r="V32" s="84">
        <v>0</v>
      </c>
      <c r="W32" s="79">
        <f t="shared" si="4"/>
        <v>41.894999999999996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38.992489735355413</v>
      </c>
      <c r="M33" s="56">
        <v>37579</v>
      </c>
      <c r="N33" s="57">
        <v>10</v>
      </c>
      <c r="O33" s="58">
        <f t="shared" si="0"/>
        <v>2.3025850929940459</v>
      </c>
      <c r="T33" s="69">
        <v>19</v>
      </c>
      <c r="U33" s="77">
        <f t="shared" si="3"/>
        <v>45.486000000000004</v>
      </c>
      <c r="V33" s="84">
        <v>0</v>
      </c>
      <c r="W33" s="79">
        <f t="shared" si="4"/>
        <v>44.289000000000001</v>
      </c>
      <c r="X33" s="80">
        <f t="shared" si="2"/>
        <v>0</v>
      </c>
    </row>
    <row r="34" spans="1:24" ht="15" customHeight="1" x14ac:dyDescent="0.2">
      <c r="M34" s="56">
        <v>37592</v>
      </c>
      <c r="N34" s="57">
        <v>3</v>
      </c>
      <c r="O34" s="58">
        <f t="shared" si="0"/>
        <v>1.0986122886681098</v>
      </c>
      <c r="T34" s="69">
        <v>20</v>
      </c>
      <c r="U34" s="77">
        <f t="shared" si="3"/>
        <v>47.88</v>
      </c>
      <c r="V34" s="84">
        <v>0</v>
      </c>
      <c r="W34" s="79">
        <f t="shared" si="4"/>
        <v>46.683000000000007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37623</v>
      </c>
      <c r="N35" s="57">
        <v>2</v>
      </c>
      <c r="O35" s="58">
        <f t="shared" si="0"/>
        <v>0.69314718055994529</v>
      </c>
      <c r="T35" s="69">
        <v>21</v>
      </c>
      <c r="U35" s="77">
        <f t="shared" si="3"/>
        <v>50.274000000000001</v>
      </c>
      <c r="V35" s="84">
        <v>0</v>
      </c>
      <c r="W35" s="79">
        <f t="shared" si="4"/>
        <v>49.076999999999998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37652</v>
      </c>
      <c r="N36" s="57">
        <v>9</v>
      </c>
      <c r="O36" s="58">
        <f t="shared" si="0"/>
        <v>2.1972245773362196</v>
      </c>
      <c r="T36" s="69">
        <v>22</v>
      </c>
      <c r="U36" s="77">
        <f t="shared" si="3"/>
        <v>52.668000000000006</v>
      </c>
      <c r="V36" s="84">
        <v>1</v>
      </c>
      <c r="W36" s="79">
        <f t="shared" si="4"/>
        <v>51.471000000000004</v>
      </c>
      <c r="X36" s="80">
        <f t="shared" si="2"/>
        <v>5.7220677263936093E-3</v>
      </c>
    </row>
    <row r="37" spans="1:24" ht="15.75" x14ac:dyDescent="0.25">
      <c r="A37" s="103" t="s">
        <v>8</v>
      </c>
      <c r="B37" s="52">
        <f>1.05*B11</f>
        <v>59.85</v>
      </c>
      <c r="D37" s="8"/>
      <c r="E37" s="8"/>
      <c r="M37" s="56">
        <v>37679</v>
      </c>
      <c r="N37" s="57">
        <v>10</v>
      </c>
      <c r="O37" s="58">
        <f t="shared" si="0"/>
        <v>2.3025850929940459</v>
      </c>
      <c r="T37" s="69">
        <v>23</v>
      </c>
      <c r="U37" s="77">
        <f t="shared" si="3"/>
        <v>55.062000000000005</v>
      </c>
      <c r="V37" s="84">
        <v>0</v>
      </c>
      <c r="W37" s="79">
        <f t="shared" si="4"/>
        <v>53.865000000000009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2.3940000000000001</v>
      </c>
      <c r="M38" s="56">
        <v>37680</v>
      </c>
      <c r="N38" s="57">
        <v>8</v>
      </c>
      <c r="O38" s="58">
        <f t="shared" si="0"/>
        <v>2.0794415416798357</v>
      </c>
      <c r="T38" s="69">
        <v>24</v>
      </c>
      <c r="U38" s="77">
        <f t="shared" si="3"/>
        <v>57.456000000000003</v>
      </c>
      <c r="V38" s="84">
        <v>0</v>
      </c>
      <c r="W38" s="79">
        <f t="shared" si="4"/>
        <v>56.259</v>
      </c>
      <c r="X38" s="80">
        <f t="shared" si="2"/>
        <v>0</v>
      </c>
    </row>
    <row r="39" spans="1:24" ht="15" x14ac:dyDescent="0.2">
      <c r="M39" s="56">
        <v>37712</v>
      </c>
      <c r="N39" s="57">
        <v>6</v>
      </c>
      <c r="O39" s="58">
        <f t="shared" si="0"/>
        <v>1.791759469228055</v>
      </c>
      <c r="T39" s="69">
        <v>25</v>
      </c>
      <c r="U39" s="77">
        <f t="shared" si="3"/>
        <v>59.85</v>
      </c>
      <c r="V39" s="84">
        <v>1</v>
      </c>
      <c r="W39" s="79">
        <f t="shared" si="4"/>
        <v>58.653000000000006</v>
      </c>
      <c r="X39" s="80">
        <f t="shared" si="2"/>
        <v>5.7220677263936093E-3</v>
      </c>
    </row>
    <row r="40" spans="1:24" ht="15" x14ac:dyDescent="0.2">
      <c r="M40" s="56">
        <v>37743</v>
      </c>
      <c r="N40" s="57">
        <v>5</v>
      </c>
      <c r="O40" s="58">
        <f t="shared" si="0"/>
        <v>1.6094379124341003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37754</v>
      </c>
      <c r="N41" s="57">
        <v>10</v>
      </c>
      <c r="O41" s="58">
        <f t="shared" si="0"/>
        <v>2.3025850929940459</v>
      </c>
    </row>
    <row r="42" spans="1:24" ht="15" x14ac:dyDescent="0.2">
      <c r="M42" s="56">
        <v>37774</v>
      </c>
      <c r="N42" s="57">
        <v>5</v>
      </c>
      <c r="O42" s="58">
        <f t="shared" si="0"/>
        <v>1.6094379124341003</v>
      </c>
    </row>
    <row r="43" spans="1:24" ht="15" x14ac:dyDescent="0.2">
      <c r="M43" s="56">
        <v>37803</v>
      </c>
      <c r="N43" s="57">
        <v>4</v>
      </c>
      <c r="O43" s="58">
        <f t="shared" si="0"/>
        <v>1.3862943611198906</v>
      </c>
    </row>
    <row r="44" spans="1:24" ht="15" x14ac:dyDescent="0.2">
      <c r="M44" s="56">
        <v>37834</v>
      </c>
      <c r="N44" s="57">
        <v>3</v>
      </c>
      <c r="O44" s="58">
        <f t="shared" si="0"/>
        <v>1.0986122886681098</v>
      </c>
      <c r="T44" s="83" t="s">
        <v>13</v>
      </c>
    </row>
    <row r="45" spans="1:24" ht="15" x14ac:dyDescent="0.2">
      <c r="M45" s="56">
        <v>37865</v>
      </c>
      <c r="N45" s="57">
        <v>3</v>
      </c>
      <c r="O45" s="58">
        <f t="shared" si="0"/>
        <v>1.0986122886681098</v>
      </c>
      <c r="T45" s="69" t="s">
        <v>26</v>
      </c>
      <c r="U45" s="69" t="s">
        <v>27</v>
      </c>
    </row>
    <row r="46" spans="1:24" ht="15" x14ac:dyDescent="0.2">
      <c r="B46" s="6"/>
      <c r="M46" s="56">
        <v>37867</v>
      </c>
      <c r="N46" s="57">
        <v>10</v>
      </c>
      <c r="O46" s="58">
        <f t="shared" si="0"/>
        <v>2.3025850929940459</v>
      </c>
      <c r="T46" s="85">
        <f>$U$14-$B$38/100</f>
        <v>-2.3940000000000003E-2</v>
      </c>
      <c r="U46" s="28">
        <v>0</v>
      </c>
    </row>
    <row r="47" spans="1:24" ht="15" x14ac:dyDescent="0.2">
      <c r="B47" s="9"/>
      <c r="C47" s="9"/>
      <c r="D47" s="9"/>
      <c r="E47" s="9"/>
      <c r="M47" s="56">
        <v>37895</v>
      </c>
      <c r="N47" s="57">
        <v>2</v>
      </c>
      <c r="O47" s="58">
        <f t="shared" si="0"/>
        <v>0.69314718055994529</v>
      </c>
      <c r="T47" s="85">
        <f>$U$14+$B$38/100</f>
        <v>2.3940000000000003E-2</v>
      </c>
      <c r="U47" s="28">
        <f>$X$15</f>
        <v>5.72206772639361E-2</v>
      </c>
    </row>
    <row r="48" spans="1:24" ht="16.149999999999999" customHeight="1" x14ac:dyDescent="0.2">
      <c r="D48" s="9"/>
      <c r="E48" s="9"/>
      <c r="K48" s="11"/>
      <c r="L48" s="12"/>
      <c r="M48" s="56">
        <v>37925</v>
      </c>
      <c r="N48" s="57">
        <v>4</v>
      </c>
      <c r="O48" s="58">
        <f t="shared" si="0"/>
        <v>1.3862943611198906</v>
      </c>
      <c r="T48" s="85">
        <f>$U$15-$B$38/100</f>
        <v>2.3700600000000001</v>
      </c>
      <c r="U48" s="28">
        <f>$X$15</f>
        <v>5.72206772639361E-2</v>
      </c>
    </row>
    <row r="49" spans="5:21" ht="15" x14ac:dyDescent="0.2">
      <c r="E49" s="13"/>
      <c r="M49" s="56">
        <v>37938</v>
      </c>
      <c r="N49" s="57">
        <v>10</v>
      </c>
      <c r="O49" s="58">
        <f t="shared" si="0"/>
        <v>2.3025850929940459</v>
      </c>
      <c r="T49" s="85">
        <f>$U$15+$B$38/100</f>
        <v>2.4179400000000002</v>
      </c>
      <c r="U49" s="28">
        <f>$X$16</f>
        <v>5.72206772639361E-2</v>
      </c>
    </row>
    <row r="50" spans="5:21" ht="15" x14ac:dyDescent="0.2">
      <c r="E50" s="15"/>
      <c r="M50" s="56">
        <v>37956</v>
      </c>
      <c r="N50" s="57">
        <v>3</v>
      </c>
      <c r="O50" s="58">
        <f t="shared" si="0"/>
        <v>1.0986122886681098</v>
      </c>
      <c r="T50" s="85">
        <f>$U$16-$B$38/100</f>
        <v>4.7640600000000006</v>
      </c>
      <c r="U50" s="28">
        <f>$X$16</f>
        <v>5.72206772639361E-2</v>
      </c>
    </row>
    <row r="51" spans="5:21" ht="15" x14ac:dyDescent="0.2">
      <c r="E51" s="15"/>
      <c r="M51" s="56">
        <v>37988</v>
      </c>
      <c r="N51" s="57">
        <v>1</v>
      </c>
      <c r="O51" s="58">
        <f t="shared" si="0"/>
        <v>0</v>
      </c>
      <c r="T51" s="85">
        <f>$U$16+$B$38/100</f>
        <v>4.8119399999999999</v>
      </c>
      <c r="U51" s="28">
        <f>$X$17</f>
        <v>0.10871928680147858</v>
      </c>
    </row>
    <row r="52" spans="5:21" ht="15" x14ac:dyDescent="0.2">
      <c r="E52" s="15"/>
      <c r="M52" s="56">
        <v>38019</v>
      </c>
      <c r="N52" s="57">
        <v>3</v>
      </c>
      <c r="O52" s="58">
        <f t="shared" si="0"/>
        <v>1.0986122886681098</v>
      </c>
      <c r="T52" s="85">
        <f>$U$17-$B$38/100</f>
        <v>7.1580600000000008</v>
      </c>
      <c r="U52" s="28">
        <f>$X$17</f>
        <v>0.10871928680147858</v>
      </c>
    </row>
    <row r="53" spans="5:21" ht="15" x14ac:dyDescent="0.2">
      <c r="E53" s="15"/>
      <c r="F53" s="15"/>
      <c r="G53" s="15"/>
      <c r="M53" s="56">
        <v>38029</v>
      </c>
      <c r="N53" s="57">
        <v>10</v>
      </c>
      <c r="O53" s="58">
        <f t="shared" si="0"/>
        <v>2.3025850929940459</v>
      </c>
      <c r="T53" s="85">
        <f>$U$17+$B$38/100</f>
        <v>7.20594</v>
      </c>
      <c r="U53" s="28">
        <f>$X$18</f>
        <v>9.1553083622297748E-2</v>
      </c>
    </row>
    <row r="54" spans="5:21" ht="15" x14ac:dyDescent="0.2">
      <c r="E54" s="15"/>
      <c r="F54" s="15"/>
      <c r="G54" s="15"/>
      <c r="M54" s="56">
        <v>38048</v>
      </c>
      <c r="N54" s="57">
        <v>2</v>
      </c>
      <c r="O54" s="58">
        <f t="shared" si="0"/>
        <v>0.69314718055994529</v>
      </c>
      <c r="T54" s="85">
        <f>$U$18-$B$38/100</f>
        <v>9.5520600000000009</v>
      </c>
      <c r="U54" s="28">
        <f>$X$18</f>
        <v>9.1553083622297748E-2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38078</v>
      </c>
      <c r="N55" s="57">
        <v>2</v>
      </c>
      <c r="O55" s="58">
        <f t="shared" si="0"/>
        <v>0.69314718055994529</v>
      </c>
      <c r="T55" s="85">
        <f>$U$18+$B$38/100</f>
        <v>9.5999400000000001</v>
      </c>
      <c r="U55" s="28">
        <f>$X$19</f>
        <v>1.1444135452787219E-2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38107</v>
      </c>
      <c r="N56" s="57">
        <v>3</v>
      </c>
      <c r="O56" s="58">
        <f t="shared" si="0"/>
        <v>1.0986122886681098</v>
      </c>
      <c r="T56" s="85">
        <f>$U$19-$B$38/100</f>
        <v>11.946060000000001</v>
      </c>
      <c r="U56" s="28">
        <f>$X$19</f>
        <v>1.1444135452787219E-2</v>
      </c>
    </row>
    <row r="57" spans="5:21" ht="15" x14ac:dyDescent="0.2">
      <c r="E57" s="70">
        <v>1</v>
      </c>
      <c r="F57" s="74">
        <f>$B$21</f>
        <v>27.483612343076366</v>
      </c>
      <c r="G57" s="74">
        <f>$C$21</f>
        <v>-10.415119192391435</v>
      </c>
      <c r="H57" s="74">
        <f>$B$22</f>
        <v>31.025892909616815</v>
      </c>
      <c r="I57" s="74">
        <f>$C$22</f>
        <v>-13.957399758931883</v>
      </c>
      <c r="J57" s="74">
        <f>$B$31</f>
        <v>22.812003312071255</v>
      </c>
      <c r="K57" s="74">
        <f>$B$32</f>
        <v>31.992489735355413</v>
      </c>
      <c r="M57" s="56">
        <v>38139</v>
      </c>
      <c r="N57" s="57">
        <v>3</v>
      </c>
      <c r="O57" s="58">
        <f t="shared" si="0"/>
        <v>1.0986122886681098</v>
      </c>
      <c r="T57" s="85">
        <f>$U$19+$B$38/100</f>
        <v>11.99394</v>
      </c>
      <c r="U57" s="28">
        <f>$X$20</f>
        <v>9.7275151348691358E-2</v>
      </c>
    </row>
    <row r="58" spans="5:21" ht="15" x14ac:dyDescent="0.2">
      <c r="E58" s="70">
        <v>73415</v>
      </c>
      <c r="F58" s="74">
        <f>$B$21</f>
        <v>27.483612343076366</v>
      </c>
      <c r="G58" s="74">
        <f>$C$21</f>
        <v>-10.415119192391435</v>
      </c>
      <c r="H58" s="74">
        <f>$B$22</f>
        <v>31.025892909616815</v>
      </c>
      <c r="I58" s="74">
        <f>$C$22</f>
        <v>-13.957399758931883</v>
      </c>
      <c r="J58" s="74">
        <f>$B$31</f>
        <v>22.812003312071255</v>
      </c>
      <c r="K58" s="74">
        <f>$B$32</f>
        <v>31.992489735355413</v>
      </c>
      <c r="M58" s="56">
        <v>38140</v>
      </c>
      <c r="N58" s="57">
        <v>5</v>
      </c>
      <c r="O58" s="58">
        <f t="shared" si="0"/>
        <v>1.6094379124341003</v>
      </c>
      <c r="T58" s="85">
        <f>$U$20-$B$38/100</f>
        <v>14.340060000000001</v>
      </c>
      <c r="U58" s="28">
        <f>$X$20</f>
        <v>9.7275151348691358E-2</v>
      </c>
    </row>
    <row r="59" spans="5:21" ht="15" x14ac:dyDescent="0.2">
      <c r="M59" s="56">
        <v>38169</v>
      </c>
      <c r="N59" s="57">
        <v>2</v>
      </c>
      <c r="O59" s="58">
        <f t="shared" si="0"/>
        <v>0.69314718055994529</v>
      </c>
      <c r="T59" s="85">
        <f>$U$20+$B$38/100</f>
        <v>14.38794</v>
      </c>
      <c r="U59" s="28">
        <f>$X$21</f>
        <v>0</v>
      </c>
    </row>
    <row r="60" spans="5:21" ht="15" x14ac:dyDescent="0.2">
      <c r="M60" s="56">
        <v>38203</v>
      </c>
      <c r="N60" s="57">
        <v>5</v>
      </c>
      <c r="O60" s="58">
        <f t="shared" si="0"/>
        <v>1.6094379124341003</v>
      </c>
      <c r="T60" s="85">
        <f>$U$21-$B$38/100</f>
        <v>16.734060000000003</v>
      </c>
      <c r="U60" s="28">
        <f>$X$21</f>
        <v>0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38236</v>
      </c>
      <c r="N61" s="57">
        <v>3</v>
      </c>
      <c r="O61" s="58">
        <f t="shared" si="0"/>
        <v>1.0986122886681098</v>
      </c>
      <c r="T61" s="85">
        <f>$U$21+$B$38/100</f>
        <v>16.781940000000002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38246</v>
      </c>
      <c r="N62" s="57">
        <v>5</v>
      </c>
      <c r="O62" s="58">
        <f t="shared" si="0"/>
        <v>1.6094379124341003</v>
      </c>
      <c r="T62" s="85">
        <f>$U$22-$B$38/100</f>
        <v>19.128060000000001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-39.806860499083612</v>
      </c>
      <c r="G63" s="73">
        <f>NORMDIST($F63,$B$16,$B$17,FALSE)</f>
        <v>1.5377383811725094E-7</v>
      </c>
      <c r="H63" s="73">
        <f>EXP($R$26+$E63*$R$27)</f>
        <v>9.3579086345990964E-2</v>
      </c>
      <c r="I63" s="73">
        <f t="shared" ref="I63:I113" si="5">H63-$B$26</f>
        <v>9.3579086345990964E-2</v>
      </c>
      <c r="J63" s="73">
        <f>1/$H63/SQRT(2*PI())/$R$27*EXP(-POWER(LN($H63)-$R$26,2)/2/POWER($R$27,2))</f>
        <v>1.9207478233000693E-5</v>
      </c>
      <c r="K63" s="73">
        <f>LOGNORMDIST($H63,$R$26,$R$27)</f>
        <v>2.8665157187919333E-7</v>
      </c>
      <c r="M63" s="56">
        <v>38261</v>
      </c>
      <c r="N63" s="57">
        <v>4</v>
      </c>
      <c r="O63" s="58">
        <f t="shared" si="0"/>
        <v>1.3862943611198906</v>
      </c>
      <c r="T63" s="85">
        <f>$U$22+$B$38/100</f>
        <v>19.175940000000001</v>
      </c>
      <c r="U63" s="28">
        <f>$X$23</f>
        <v>5.7220677263936093E-3</v>
      </c>
    </row>
    <row r="64" spans="5:21" ht="15" x14ac:dyDescent="0.2">
      <c r="E64" s="72">
        <v>-4.8</v>
      </c>
      <c r="F64" s="73">
        <f t="shared" ref="F64:F113" si="6">$B$16+$E64*$B$17</f>
        <v>-37.873216216106563</v>
      </c>
      <c r="G64" s="73">
        <f t="shared" ref="G64:G113" si="7">NORMDIST($F64,$B$16,$B$17,FALSE)</f>
        <v>4.097236628169531E-7</v>
      </c>
      <c r="H64" s="73">
        <f t="shared" ref="H64:H113" si="8">EXP($R$26+$E64*$R$27)</f>
        <v>0.11041381398799799</v>
      </c>
      <c r="I64" s="73">
        <f t="shared" si="5"/>
        <v>0.11041381398799799</v>
      </c>
      <c r="J64" s="73">
        <f t="shared" ref="J64:J113" si="9">1/$H64/SQRT(2*PI())/$R$27*EXP(-POWER(LN($H64)-$R$26,2)/2/POWER($R$27,2))</f>
        <v>4.3374484949311788E-5</v>
      </c>
      <c r="K64" s="73">
        <f t="shared" ref="K64:K113" si="10">LOGNORMDIST($H64,$R$26,$R$27)</f>
        <v>7.933281519755948E-7</v>
      </c>
      <c r="M64" s="56">
        <v>38293</v>
      </c>
      <c r="N64" s="57">
        <v>3</v>
      </c>
      <c r="O64" s="58">
        <f t="shared" si="0"/>
        <v>1.0986122886681098</v>
      </c>
      <c r="T64" s="85">
        <f>$U$23-$B$38/100</f>
        <v>21.52206</v>
      </c>
      <c r="U64" s="28">
        <f>$X$23</f>
        <v>5.7220677263936093E-3</v>
      </c>
    </row>
    <row r="65" spans="5:21" ht="15" x14ac:dyDescent="0.2">
      <c r="E65" s="72">
        <v>-4.5999999999999996</v>
      </c>
      <c r="F65" s="73">
        <f t="shared" si="6"/>
        <v>-35.939571933129521</v>
      </c>
      <c r="G65" s="73">
        <f t="shared" si="7"/>
        <v>1.0488849634612092E-6</v>
      </c>
      <c r="H65" s="73">
        <f t="shared" si="8"/>
        <v>0.13027708214954706</v>
      </c>
      <c r="I65" s="73">
        <f t="shared" si="5"/>
        <v>0.13027708214954706</v>
      </c>
      <c r="J65" s="73">
        <f t="shared" si="9"/>
        <v>9.4107997575416423E-5</v>
      </c>
      <c r="K65" s="73">
        <f t="shared" si="10"/>
        <v>2.1124547025028533E-6</v>
      </c>
      <c r="M65" s="56">
        <v>38301</v>
      </c>
      <c r="N65" s="57">
        <v>10</v>
      </c>
      <c r="O65" s="58">
        <f t="shared" si="0"/>
        <v>2.3025850929940459</v>
      </c>
      <c r="T65" s="85">
        <f>$U$23+$B$38/100</f>
        <v>21.569939999999999</v>
      </c>
      <c r="U65" s="28">
        <f>$X$24</f>
        <v>2.2888270905574437E-2</v>
      </c>
    </row>
    <row r="66" spans="5:21" ht="15" x14ac:dyDescent="0.2">
      <c r="E66" s="72">
        <v>-4.4000000000000004</v>
      </c>
      <c r="F66" s="73">
        <f t="shared" si="6"/>
        <v>-34.005927650152486</v>
      </c>
      <c r="G66" s="73">
        <f t="shared" si="7"/>
        <v>2.5798407193749254E-6</v>
      </c>
      <c r="H66" s="73">
        <f t="shared" si="8"/>
        <v>0.15371372041585926</v>
      </c>
      <c r="I66" s="73">
        <f t="shared" si="5"/>
        <v>0.15371372041585926</v>
      </c>
      <c r="J66" s="73">
        <f t="shared" si="9"/>
        <v>1.9617648788827058E-4</v>
      </c>
      <c r="K66" s="73">
        <f t="shared" si="10"/>
        <v>5.4125439077038416E-6</v>
      </c>
      <c r="M66" s="56">
        <v>38323</v>
      </c>
      <c r="N66" s="57">
        <v>6</v>
      </c>
      <c r="O66" s="58">
        <f t="shared" si="0"/>
        <v>1.791759469228055</v>
      </c>
      <c r="T66" s="85">
        <f>$U$24-$B$38/100</f>
        <v>23.916060000000002</v>
      </c>
      <c r="U66" s="28">
        <f>$X$24</f>
        <v>2.2888270905574437E-2</v>
      </c>
    </row>
    <row r="67" spans="5:21" ht="15" x14ac:dyDescent="0.2">
      <c r="E67" s="72">
        <v>-4.2</v>
      </c>
      <c r="F67" s="73">
        <f t="shared" si="6"/>
        <v>-32.072283367175437</v>
      </c>
      <c r="G67" s="73">
        <f t="shared" si="7"/>
        <v>6.0965781840485137E-6</v>
      </c>
      <c r="H67" s="73">
        <f t="shared" si="8"/>
        <v>0.18136657234126671</v>
      </c>
      <c r="I67" s="73">
        <f t="shared" si="5"/>
        <v>0.18136657234126671</v>
      </c>
      <c r="J67" s="73">
        <f t="shared" si="9"/>
        <v>3.9291227644675685E-4</v>
      </c>
      <c r="K67" s="73">
        <f t="shared" si="10"/>
        <v>1.3345749015906309E-5</v>
      </c>
      <c r="M67" s="56">
        <v>38412</v>
      </c>
      <c r="N67" s="57">
        <v>10</v>
      </c>
      <c r="O67" s="58">
        <f t="shared" ref="O67:O130" si="11">IF($N67&gt;0,LN($N67+$B$26))</f>
        <v>2.3025850929940459</v>
      </c>
      <c r="T67" s="85">
        <f>$U$24+$B$38/100</f>
        <v>23.963940000000001</v>
      </c>
      <c r="U67" s="28">
        <f>$X$25</f>
        <v>0</v>
      </c>
    </row>
    <row r="68" spans="5:21" ht="15" x14ac:dyDescent="0.2">
      <c r="E68" s="72">
        <v>-4</v>
      </c>
      <c r="F68" s="73">
        <f t="shared" si="6"/>
        <v>-30.138639084198395</v>
      </c>
      <c r="G68" s="73">
        <f t="shared" si="7"/>
        <v>1.3842279776385763E-5</v>
      </c>
      <c r="H68" s="73">
        <f t="shared" si="8"/>
        <v>0.2139941280051546</v>
      </c>
      <c r="I68" s="73">
        <f t="shared" si="5"/>
        <v>0.2139941280051546</v>
      </c>
      <c r="J68" s="73">
        <f t="shared" si="9"/>
        <v>7.5608820384768746E-4</v>
      </c>
      <c r="K68" s="73">
        <f t="shared" si="10"/>
        <v>3.1671241833119857E-5</v>
      </c>
      <c r="M68" s="56">
        <v>38504</v>
      </c>
      <c r="N68" s="57">
        <v>20</v>
      </c>
      <c r="O68" s="58">
        <f t="shared" si="11"/>
        <v>2.9957322735539909</v>
      </c>
      <c r="T68" s="85">
        <f>$U$25-$B$38/100</f>
        <v>26.310060000000004</v>
      </c>
      <c r="U68" s="28">
        <f>$X$25</f>
        <v>0</v>
      </c>
    </row>
    <row r="69" spans="5:21" ht="15" x14ac:dyDescent="0.2">
      <c r="E69" s="72">
        <v>-3.8</v>
      </c>
      <c r="F69" s="73">
        <f t="shared" si="6"/>
        <v>-28.204994801221353</v>
      </c>
      <c r="G69" s="73">
        <f t="shared" si="7"/>
        <v>3.0196549423452166E-5</v>
      </c>
      <c r="H69" s="73">
        <f t="shared" si="8"/>
        <v>0.25249132863645679</v>
      </c>
      <c r="I69" s="73">
        <f t="shared" si="5"/>
        <v>0.25249132863645679</v>
      </c>
      <c r="J69" s="73">
        <f t="shared" si="9"/>
        <v>1.3979046424032636E-3</v>
      </c>
      <c r="K69" s="73">
        <f t="shared" si="10"/>
        <v>7.234804392511999E-5</v>
      </c>
      <c r="M69" s="56">
        <v>38748</v>
      </c>
      <c r="N69" s="57">
        <v>2</v>
      </c>
      <c r="O69" s="58">
        <f t="shared" si="11"/>
        <v>0.69314718055994529</v>
      </c>
      <c r="T69" s="85">
        <f>$U$25+$B$38/100</f>
        <v>26.357940000000003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-26.271350518244311</v>
      </c>
      <c r="G70" s="73">
        <f t="shared" si="7"/>
        <v>6.3290020351797733E-5</v>
      </c>
      <c r="H70" s="73">
        <f t="shared" si="8"/>
        <v>0.2979141139567511</v>
      </c>
      <c r="I70" s="73">
        <f t="shared" si="5"/>
        <v>0.2979141139567511</v>
      </c>
      <c r="J70" s="73">
        <f t="shared" si="9"/>
        <v>2.4831951572475575E-3</v>
      </c>
      <c r="K70" s="73">
        <f t="shared" si="10"/>
        <v>1.5910859015753364E-4</v>
      </c>
      <c r="M70" s="56">
        <v>38783</v>
      </c>
      <c r="N70" s="57">
        <v>2</v>
      </c>
      <c r="O70" s="58">
        <f t="shared" si="11"/>
        <v>0.69314718055994529</v>
      </c>
      <c r="T70" s="85">
        <f>$U$26-$B$38/100</f>
        <v>28.704060000000002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-24.337706235267262</v>
      </c>
      <c r="G71" s="73">
        <f t="shared" si="7"/>
        <v>1.2745044983929451E-4</v>
      </c>
      <c r="H71" s="73">
        <f t="shared" si="8"/>
        <v>0.35150838555103248</v>
      </c>
      <c r="I71" s="73">
        <f t="shared" si="5"/>
        <v>0.35150838555103248</v>
      </c>
      <c r="J71" s="73">
        <f t="shared" si="9"/>
        <v>4.2381115044235369E-3</v>
      </c>
      <c r="K71" s="73">
        <f t="shared" si="10"/>
        <v>3.369292656768808E-4</v>
      </c>
      <c r="M71" s="56">
        <v>38827</v>
      </c>
      <c r="N71" s="57">
        <v>5</v>
      </c>
      <c r="O71" s="58">
        <f t="shared" si="11"/>
        <v>1.6094379124341003</v>
      </c>
      <c r="T71" s="85">
        <f>$U$26+$B$38/100</f>
        <v>28.751940000000001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-22.40406195229022</v>
      </c>
      <c r="G72" s="73">
        <f t="shared" si="7"/>
        <v>2.4659015336515742E-4</v>
      </c>
      <c r="H72" s="73">
        <f t="shared" si="8"/>
        <v>0.41474418070246405</v>
      </c>
      <c r="I72" s="73">
        <f t="shared" si="5"/>
        <v>0.41474418070246405</v>
      </c>
      <c r="J72" s="73">
        <f t="shared" si="9"/>
        <v>6.9496370795885691E-3</v>
      </c>
      <c r="K72" s="73">
        <f t="shared" si="10"/>
        <v>6.8713793791584719E-4</v>
      </c>
      <c r="M72" s="56">
        <v>38909</v>
      </c>
      <c r="N72" s="57">
        <v>5</v>
      </c>
      <c r="O72" s="58">
        <f t="shared" si="11"/>
        <v>1.6094379124341003</v>
      </c>
      <c r="T72" s="85">
        <f>$U$27-$B$38/100</f>
        <v>31.09806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-20.470417669313179</v>
      </c>
      <c r="G73" s="73">
        <f t="shared" si="7"/>
        <v>4.5839335093368091E-4</v>
      </c>
      <c r="H73" s="73">
        <f t="shared" si="8"/>
        <v>0.48935599404522656</v>
      </c>
      <c r="I73" s="73">
        <f t="shared" si="5"/>
        <v>0.48935599404522656</v>
      </c>
      <c r="J73" s="73">
        <f t="shared" si="9"/>
        <v>1.0949142128610354E-2</v>
      </c>
      <c r="K73" s="73">
        <f t="shared" si="10"/>
        <v>1.3498980316300954E-3</v>
      </c>
      <c r="M73" s="56">
        <v>39016</v>
      </c>
      <c r="N73" s="57">
        <v>5</v>
      </c>
      <c r="O73" s="58">
        <f t="shared" si="11"/>
        <v>1.6094379124341003</v>
      </c>
      <c r="T73" s="85">
        <f>$U$27+$B$38/100</f>
        <v>31.14594</v>
      </c>
      <c r="U73" s="28">
        <f>$X$28</f>
        <v>5.7220677263936093E-3</v>
      </c>
    </row>
    <row r="74" spans="5:21" ht="15" x14ac:dyDescent="0.2">
      <c r="E74" s="72">
        <v>-2.8</v>
      </c>
      <c r="F74" s="73">
        <f t="shared" si="6"/>
        <v>-18.536773386336137</v>
      </c>
      <c r="G74" s="73">
        <f t="shared" si="7"/>
        <v>8.1870814116785976E-4</v>
      </c>
      <c r="H74" s="73">
        <f t="shared" si="8"/>
        <v>0.57739035301808384</v>
      </c>
      <c r="I74" s="73">
        <f t="shared" si="5"/>
        <v>0.57739035301808384</v>
      </c>
      <c r="J74" s="73">
        <f t="shared" si="9"/>
        <v>1.657395981924787E-2</v>
      </c>
      <c r="K74" s="73">
        <f t="shared" si="10"/>
        <v>2.5551303304279312E-3</v>
      </c>
      <c r="M74" s="56">
        <v>39106</v>
      </c>
      <c r="N74" s="57">
        <v>5</v>
      </c>
      <c r="O74" s="58">
        <f t="shared" si="11"/>
        <v>1.6094379124341003</v>
      </c>
      <c r="T74" s="85">
        <f>$U$28-$B$38/100</f>
        <v>33.492060000000002</v>
      </c>
      <c r="U74" s="28">
        <f>$X$28</f>
        <v>5.7220677263936093E-3</v>
      </c>
    </row>
    <row r="75" spans="5:21" ht="15" x14ac:dyDescent="0.2">
      <c r="E75" s="72">
        <v>-2.6</v>
      </c>
      <c r="F75" s="73">
        <f t="shared" si="6"/>
        <v>-16.603129103359095</v>
      </c>
      <c r="G75" s="73">
        <f t="shared" si="7"/>
        <v>1.4049087883706557E-3</v>
      </c>
      <c r="H75" s="73">
        <f t="shared" si="8"/>
        <v>0.68126195206579276</v>
      </c>
      <c r="I75" s="73">
        <f t="shared" si="5"/>
        <v>0.68126195206579276</v>
      </c>
      <c r="J75" s="73">
        <f t="shared" si="9"/>
        <v>2.410464227402213E-2</v>
      </c>
      <c r="K75" s="73">
        <f t="shared" si="10"/>
        <v>4.6611880237187476E-3</v>
      </c>
      <c r="M75" s="56">
        <v>39184</v>
      </c>
      <c r="N75" s="57">
        <v>5</v>
      </c>
      <c r="O75" s="58">
        <f t="shared" si="11"/>
        <v>1.6094379124341003</v>
      </c>
      <c r="T75" s="85">
        <f>$U$28+$B$38/100</f>
        <v>33.539940000000009</v>
      </c>
      <c r="U75" s="28">
        <f>$X$29</f>
        <v>5.7220677263936093E-3</v>
      </c>
    </row>
    <row r="76" spans="5:21" ht="15" x14ac:dyDescent="0.2">
      <c r="E76" s="72">
        <v>-2.4</v>
      </c>
      <c r="F76" s="73">
        <f t="shared" si="6"/>
        <v>-14.669484820382047</v>
      </c>
      <c r="G76" s="73">
        <f t="shared" si="7"/>
        <v>2.3163030027802457E-3</v>
      </c>
      <c r="H76" s="73">
        <f t="shared" si="8"/>
        <v>0.80381988529337034</v>
      </c>
      <c r="I76" s="73">
        <f t="shared" si="5"/>
        <v>0.80381988529337034</v>
      </c>
      <c r="J76" s="73">
        <f t="shared" si="9"/>
        <v>3.368242260114615E-2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35.886060000000001</v>
      </c>
      <c r="U76" s="28">
        <f>$X$29</f>
        <v>5.7220677263936093E-3</v>
      </c>
    </row>
    <row r="77" spans="5:21" ht="15" x14ac:dyDescent="0.2">
      <c r="E77" s="72">
        <v>-2.2000000000000002</v>
      </c>
      <c r="F77" s="73">
        <f t="shared" si="6"/>
        <v>-12.735840537405009</v>
      </c>
      <c r="G77" s="73">
        <f t="shared" si="7"/>
        <v>3.6691953280687862E-3</v>
      </c>
      <c r="H77" s="73">
        <f t="shared" si="8"/>
        <v>0.9484257942687031</v>
      </c>
      <c r="I77" s="73">
        <f t="shared" si="5"/>
        <v>0.9484257942687031</v>
      </c>
      <c r="J77" s="73">
        <f t="shared" si="9"/>
        <v>4.5220376196941886E-2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35.933940000000007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-10.802196254427963</v>
      </c>
      <c r="G78" s="73">
        <f t="shared" si="7"/>
        <v>5.5843742293761964E-3</v>
      </c>
      <c r="H78" s="73">
        <f t="shared" si="8"/>
        <v>1.1190460744895929</v>
      </c>
      <c r="I78" s="73">
        <f t="shared" si="5"/>
        <v>1.1190460744895929</v>
      </c>
      <c r="J78" s="73">
        <f t="shared" si="9"/>
        <v>5.8330170010909482E-2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38.280059999999999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-8.8685519714509216</v>
      </c>
      <c r="G79" s="73">
        <f t="shared" si="7"/>
        <v>8.1659443772504337E-3</v>
      </c>
      <c r="H79" s="73">
        <f t="shared" si="8"/>
        <v>1.3203606696464247</v>
      </c>
      <c r="I79" s="73">
        <f t="shared" si="5"/>
        <v>1.3203606696464247</v>
      </c>
      <c r="J79" s="73">
        <f t="shared" si="9"/>
        <v>7.2290384418541034E-2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38.327940000000005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-6.9349076884738778</v>
      </c>
      <c r="G80" s="73">
        <f t="shared" si="7"/>
        <v>1.1472723877494321E-2</v>
      </c>
      <c r="H80" s="73">
        <f t="shared" si="8"/>
        <v>1.5578914377983175</v>
      </c>
      <c r="I80" s="73">
        <f t="shared" si="5"/>
        <v>1.5578914377983175</v>
      </c>
      <c r="J80" s="73">
        <f t="shared" si="9"/>
        <v>8.6078768861451369E-2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40.674059999999997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-5.0012634054968341</v>
      </c>
      <c r="G81" s="73">
        <f t="shared" si="7"/>
        <v>1.5486557372923227E-2</v>
      </c>
      <c r="H81" s="73">
        <f t="shared" si="8"/>
        <v>1.83815361041861</v>
      </c>
      <c r="I81" s="73">
        <f t="shared" si="5"/>
        <v>1.83815361041861</v>
      </c>
      <c r="J81" s="73">
        <f t="shared" si="9"/>
        <v>9.8478127075946678E-2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40.721940000000004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-3.0676191225197904</v>
      </c>
      <c r="G82" s="73">
        <f t="shared" si="7"/>
        <v>2.0084982195819768E-2</v>
      </c>
      <c r="H82" s="73">
        <f t="shared" si="8"/>
        <v>2.1688344986798671</v>
      </c>
      <c r="I82" s="73">
        <f t="shared" si="5"/>
        <v>2.1688344986798671</v>
      </c>
      <c r="J82" s="73">
        <f t="shared" si="9"/>
        <v>0.10824596947494683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43.068059999999996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-1.1339748395427485</v>
      </c>
      <c r="G83" s="73">
        <f t="shared" si="7"/>
        <v>2.502742894847285E-2</v>
      </c>
      <c r="H83" s="73">
        <f t="shared" si="8"/>
        <v>2.5590043487131227</v>
      </c>
      <c r="I83" s="73">
        <f t="shared" si="5"/>
        <v>2.5590043487131227</v>
      </c>
      <c r="J83" s="73">
        <f t="shared" si="9"/>
        <v>0.11431728703628265</v>
      </c>
      <c r="K83" s="73">
        <f t="shared" si="10"/>
        <v>0.15865525393145713</v>
      </c>
      <c r="L83" s="14"/>
      <c r="M83" s="56"/>
      <c r="N83" s="57"/>
      <c r="O83" s="58" t="b">
        <f t="shared" si="11"/>
        <v>0</v>
      </c>
      <c r="T83" s="85">
        <f>$U$32+$B$38/100</f>
        <v>43.115940000000002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0.79966944343429436</v>
      </c>
      <c r="G84" s="73">
        <f t="shared" si="7"/>
        <v>2.9963272491409117E-2</v>
      </c>
      <c r="H84" s="73">
        <f t="shared" si="8"/>
        <v>3.019365129390295</v>
      </c>
      <c r="I84" s="73">
        <f t="shared" si="5"/>
        <v>3.019365129390295</v>
      </c>
      <c r="J84" s="73">
        <f t="shared" si="9"/>
        <v>0.11599527660467927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45.462060000000001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2.7333137264113381</v>
      </c>
      <c r="G85" s="73">
        <f t="shared" si="7"/>
        <v>3.4465967274887425E-2</v>
      </c>
      <c r="H85" s="73">
        <f t="shared" si="8"/>
        <v>3.5625440766298935</v>
      </c>
      <c r="I85" s="73">
        <f t="shared" si="5"/>
        <v>3.5625440766298935</v>
      </c>
      <c r="J85" s="73">
        <f t="shared" si="9"/>
        <v>0.11308289577298342</v>
      </c>
      <c r="K85" s="73">
        <f t="shared" si="10"/>
        <v>0.27425311775007355</v>
      </c>
      <c r="M85" s="56"/>
      <c r="N85" s="57"/>
      <c r="O85" s="58" t="b">
        <f t="shared" si="11"/>
        <v>0</v>
      </c>
      <c r="T85" s="85">
        <f>$U$33+$B$38/100</f>
        <v>45.509940000000007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4.6669580093883809</v>
      </c>
      <c r="G86" s="73">
        <f t="shared" si="7"/>
        <v>3.8090784695552563E-2</v>
      </c>
      <c r="H86" s="73">
        <f t="shared" si="8"/>
        <v>4.2034400458528181</v>
      </c>
      <c r="I86" s="73">
        <f t="shared" si="5"/>
        <v>4.2034400458528181</v>
      </c>
      <c r="J86" s="73">
        <f t="shared" si="9"/>
        <v>0.10592092339488079</v>
      </c>
      <c r="K86" s="73">
        <f t="shared" si="10"/>
        <v>0.34457825838967576</v>
      </c>
      <c r="M86" s="56"/>
      <c r="N86" s="57"/>
      <c r="O86" s="58" t="b">
        <f t="shared" si="11"/>
        <v>0</v>
      </c>
      <c r="T86" s="85">
        <f>$U$34-$B$38/100</f>
        <v>47.856059999999999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6.6006022923654237</v>
      </c>
      <c r="G87" s="73">
        <f t="shared" si="7"/>
        <v>4.0446187276328378E-2</v>
      </c>
      <c r="H87" s="73">
        <f t="shared" si="8"/>
        <v>4.9596321726898118</v>
      </c>
      <c r="I87" s="73">
        <f t="shared" si="5"/>
        <v>4.9596321726898118</v>
      </c>
      <c r="J87" s="73">
        <f t="shared" si="9"/>
        <v>9.5322366548300216E-2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47.903940000000006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8.5342465753424666</v>
      </c>
      <c r="G88" s="73">
        <f t="shared" si="7"/>
        <v>4.1263254458283334E-2</v>
      </c>
      <c r="H88" s="73">
        <f t="shared" si="8"/>
        <v>5.8518620510951749</v>
      </c>
      <c r="I88" s="73">
        <f t="shared" si="5"/>
        <v>5.8518620510951749</v>
      </c>
      <c r="J88" s="73">
        <f t="shared" si="9"/>
        <v>8.2420661237090909E-2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50.250059999999998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10.46789085831951</v>
      </c>
      <c r="G89" s="73">
        <f t="shared" si="7"/>
        <v>4.0446187276328378E-2</v>
      </c>
      <c r="H89" s="73">
        <f t="shared" si="8"/>
        <v>6.9046026545302732</v>
      </c>
      <c r="I89" s="73">
        <f t="shared" si="5"/>
        <v>6.9046026545302732</v>
      </c>
      <c r="J89" s="73">
        <f t="shared" si="9"/>
        <v>6.8470830193202978E-2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50.297940000000004</v>
      </c>
      <c r="U89" s="28">
        <f>$X$36</f>
        <v>5.7220677263936093E-3</v>
      </c>
    </row>
    <row r="90" spans="5:21" ht="15" x14ac:dyDescent="0.2">
      <c r="E90" s="72">
        <v>0.4</v>
      </c>
      <c r="F90" s="73">
        <f t="shared" si="6"/>
        <v>12.401535141296552</v>
      </c>
      <c r="G90" s="73">
        <f t="shared" si="7"/>
        <v>3.8090784695552563E-2</v>
      </c>
      <c r="H90" s="73">
        <f t="shared" si="8"/>
        <v>8.1467296051560893</v>
      </c>
      <c r="I90" s="73">
        <f t="shared" si="5"/>
        <v>8.1467296051560893</v>
      </c>
      <c r="J90" s="73">
        <f t="shared" si="9"/>
        <v>5.4651654427067493E-2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52.644060000000003</v>
      </c>
      <c r="U90" s="28">
        <f>$X$36</f>
        <v>5.7220677263936093E-3</v>
      </c>
    </row>
    <row r="91" spans="5:21" ht="15" x14ac:dyDescent="0.2">
      <c r="E91" s="72">
        <v>0.6</v>
      </c>
      <c r="F91" s="73">
        <f t="shared" si="6"/>
        <v>14.335179424273594</v>
      </c>
      <c r="G91" s="73">
        <f t="shared" si="7"/>
        <v>3.4465967274887432E-2</v>
      </c>
      <c r="H91" s="73">
        <f t="shared" si="8"/>
        <v>9.6123132032775676</v>
      </c>
      <c r="I91" s="73">
        <f t="shared" si="5"/>
        <v>9.6123132032775676</v>
      </c>
      <c r="J91" s="73">
        <f t="shared" si="9"/>
        <v>4.1911118789474233E-2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52.69194000000001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16.268823707250736</v>
      </c>
      <c r="G92" s="73">
        <f t="shared" si="7"/>
        <v>2.9963272491408878E-2</v>
      </c>
      <c r="H92" s="73">
        <f t="shared" si="8"/>
        <v>11.341552941615614</v>
      </c>
      <c r="I92" s="73">
        <f t="shared" si="5"/>
        <v>11.341552941615614</v>
      </c>
      <c r="J92" s="73">
        <f t="shared" si="9"/>
        <v>3.088043543570116E-2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55.038060000000002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18.202467990227778</v>
      </c>
      <c r="G93" s="73">
        <f t="shared" si="7"/>
        <v>2.5027428948472596E-2</v>
      </c>
      <c r="H93" s="73">
        <f t="shared" si="8"/>
        <v>13.381880137198261</v>
      </c>
      <c r="I93" s="73">
        <f t="shared" si="5"/>
        <v>13.381880137198261</v>
      </c>
      <c r="J93" s="73">
        <f t="shared" si="9"/>
        <v>2.18607872481048E-2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55.085940000000008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20.136112273204823</v>
      </c>
      <c r="G94" s="73">
        <f t="shared" si="7"/>
        <v>2.0084982195819525E-2</v>
      </c>
      <c r="H94" s="73">
        <f t="shared" si="8"/>
        <v>15.789258924962709</v>
      </c>
      <c r="I94" s="73">
        <f t="shared" si="5"/>
        <v>15.789258924962709</v>
      </c>
      <c r="J94" s="73">
        <f t="shared" si="9"/>
        <v>1.4868816456556022E-2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57.43206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22.069756556181865</v>
      </c>
      <c r="G95" s="73">
        <f t="shared" si="7"/>
        <v>1.5486557372923006E-2</v>
      </c>
      <c r="H95" s="73">
        <f t="shared" si="8"/>
        <v>18.62972129802009</v>
      </c>
      <c r="I95" s="73">
        <f t="shared" si="5"/>
        <v>18.62972129802009</v>
      </c>
      <c r="J95" s="73">
        <f t="shared" si="9"/>
        <v>9.7166201220170445E-3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57.479940000000006</v>
      </c>
      <c r="U95" s="28">
        <f>$X$39</f>
        <v>5.7220677263936093E-3</v>
      </c>
    </row>
    <row r="96" spans="5:21" ht="15" x14ac:dyDescent="0.2">
      <c r="E96" s="72">
        <v>1.6000000000000101</v>
      </c>
      <c r="F96" s="73">
        <f t="shared" si="6"/>
        <v>24.003400839158907</v>
      </c>
      <c r="G96" s="73">
        <f t="shared" si="7"/>
        <v>1.1472723877494142E-2</v>
      </c>
      <c r="H96" s="73">
        <f t="shared" si="8"/>
        <v>21.981178299204011</v>
      </c>
      <c r="I96" s="73">
        <f t="shared" si="5"/>
        <v>21.981178299204011</v>
      </c>
      <c r="J96" s="73">
        <f t="shared" si="9"/>
        <v>6.1007365101228206E-3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59.826059999999998</v>
      </c>
      <c r="U96" s="28">
        <f>$X$39</f>
        <v>5.7220677263936093E-3</v>
      </c>
    </row>
    <row r="97" spans="5:21" ht="15" x14ac:dyDescent="0.2">
      <c r="E97" s="72">
        <v>1.80000000000001</v>
      </c>
      <c r="F97" s="73">
        <f t="shared" si="6"/>
        <v>25.937045122135949</v>
      </c>
      <c r="G97" s="73">
        <f t="shared" si="7"/>
        <v>8.1659443772502879E-3</v>
      </c>
      <c r="H97" s="73">
        <f t="shared" si="8"/>
        <v>25.93555704307542</v>
      </c>
      <c r="I97" s="73">
        <f t="shared" si="5"/>
        <v>25.93555704307542</v>
      </c>
      <c r="J97" s="73">
        <f t="shared" si="9"/>
        <v>3.6802517956846729E-3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59.873940000000005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27.870689405112998</v>
      </c>
      <c r="G98" s="73">
        <f t="shared" si="7"/>
        <v>5.5843742293760767E-3</v>
      </c>
      <c r="H98" s="73">
        <f t="shared" si="8"/>
        <v>30.60132218476102</v>
      </c>
      <c r="I98" s="73">
        <f t="shared" si="5"/>
        <v>30.60132218476102</v>
      </c>
      <c r="J98" s="73">
        <f t="shared" si="9"/>
        <v>2.1330499179386107E-3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29.804333688090033</v>
      </c>
      <c r="G99" s="73">
        <f t="shared" si="7"/>
        <v>3.6691953280687081E-3</v>
      </c>
      <c r="H99" s="73">
        <f t="shared" si="8"/>
        <v>36.106450996994056</v>
      </c>
      <c r="I99" s="73">
        <f t="shared" si="5"/>
        <v>36.106450996994056</v>
      </c>
      <c r="J99" s="73">
        <f t="shared" si="9"/>
        <v>1.1878257216496792E-3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31.737977971067082</v>
      </c>
      <c r="G100" s="73">
        <f t="shared" si="7"/>
        <v>2.3163030027801871E-3</v>
      </c>
      <c r="H100" s="73">
        <f t="shared" si="8"/>
        <v>42.601943658746343</v>
      </c>
      <c r="I100" s="73">
        <f t="shared" si="5"/>
        <v>42.601943658746343</v>
      </c>
      <c r="J100" s="73">
        <f t="shared" si="9"/>
        <v>6.3552501943410587E-4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33.671622254044124</v>
      </c>
      <c r="G101" s="73">
        <f t="shared" si="7"/>
        <v>1.4049087883706182E-3</v>
      </c>
      <c r="H101" s="73">
        <f t="shared" si="8"/>
        <v>50.265965039158623</v>
      </c>
      <c r="I101" s="73">
        <f t="shared" si="5"/>
        <v>50.265965039158623</v>
      </c>
      <c r="J101" s="73">
        <f t="shared" si="9"/>
        <v>3.2669373077100293E-4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35.605266537021166</v>
      </c>
      <c r="G102" s="73">
        <f t="shared" si="7"/>
        <v>8.1870814116783634E-4</v>
      </c>
      <c r="H102" s="73">
        <f t="shared" si="8"/>
        <v>59.308731581761606</v>
      </c>
      <c r="I102" s="73">
        <f t="shared" si="5"/>
        <v>59.308731581761606</v>
      </c>
      <c r="J102" s="73">
        <f t="shared" si="9"/>
        <v>1.6135304626689427E-4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37.538910819998208</v>
      </c>
      <c r="G103" s="73">
        <f t="shared" si="7"/>
        <v>4.5839335093366708E-4</v>
      </c>
      <c r="H103" s="73">
        <f t="shared" si="8"/>
        <v>69.978277331335292</v>
      </c>
      <c r="I103" s="73">
        <f t="shared" si="5"/>
        <v>69.978277331335292</v>
      </c>
      <c r="J103" s="73">
        <f t="shared" si="9"/>
        <v>7.6567022433534103E-5</v>
      </c>
      <c r="K103" s="73">
        <f t="shared" si="10"/>
        <v>0.99865010196837001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39.472555102975249</v>
      </c>
      <c r="G104" s="73">
        <f t="shared" si="7"/>
        <v>2.4659015336514934E-4</v>
      </c>
      <c r="H104" s="73">
        <f t="shared" si="8"/>
        <v>82.567257259758449</v>
      </c>
      <c r="I104" s="73">
        <f t="shared" si="5"/>
        <v>82.567257259758449</v>
      </c>
      <c r="J104" s="73">
        <f t="shared" si="9"/>
        <v>3.4908771738480892E-5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41.406199385952291</v>
      </c>
      <c r="G105" s="73">
        <f t="shared" si="7"/>
        <v>1.2745044983929007E-4</v>
      </c>
      <c r="H105" s="73">
        <f t="shared" si="8"/>
        <v>97.42097449927401</v>
      </c>
      <c r="I105" s="73">
        <f t="shared" si="5"/>
        <v>97.42097449927401</v>
      </c>
      <c r="J105" s="73">
        <f t="shared" si="9"/>
        <v>1.5291694015196132E-5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43.339843668929333</v>
      </c>
      <c r="G106" s="73">
        <f t="shared" si="7"/>
        <v>6.3290020351795538E-5</v>
      </c>
      <c r="H106" s="73">
        <f t="shared" si="8"/>
        <v>114.946851662152</v>
      </c>
      <c r="I106" s="73">
        <f t="shared" si="5"/>
        <v>114.946851662152</v>
      </c>
      <c r="J106" s="73">
        <f t="shared" si="9"/>
        <v>6.4358342517062426E-6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45.273487951906382</v>
      </c>
      <c r="G107" s="73">
        <f t="shared" si="7"/>
        <v>3.0196549423450983E-5</v>
      </c>
      <c r="H107" s="73">
        <f t="shared" si="8"/>
        <v>135.62560603557952</v>
      </c>
      <c r="I107" s="73">
        <f t="shared" si="5"/>
        <v>135.62560603557952</v>
      </c>
      <c r="J107" s="73">
        <f t="shared" si="9"/>
        <v>2.60244957264827E-6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47.207132234883417</v>
      </c>
      <c r="G108" s="73">
        <f t="shared" si="7"/>
        <v>1.3842279776385223E-5</v>
      </c>
      <c r="H108" s="73">
        <f t="shared" si="8"/>
        <v>160.02443517619901</v>
      </c>
      <c r="I108" s="73">
        <f t="shared" si="5"/>
        <v>160.02443517619901</v>
      </c>
      <c r="J108" s="73">
        <f t="shared" si="9"/>
        <v>1.0110858113588142E-6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49.140776517860466</v>
      </c>
      <c r="G109" s="73">
        <f t="shared" si="7"/>
        <v>6.0965781840482638E-6</v>
      </c>
      <c r="H109" s="73">
        <f t="shared" si="8"/>
        <v>188.81257457197046</v>
      </c>
      <c r="I109" s="73">
        <f t="shared" si="5"/>
        <v>188.81257457197046</v>
      </c>
      <c r="J109" s="73">
        <f t="shared" si="9"/>
        <v>3.7741740967991882E-7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51.074420800837508</v>
      </c>
      <c r="G110" s="73">
        <f t="shared" si="7"/>
        <v>2.5798407193748153E-6</v>
      </c>
      <c r="H110" s="73">
        <f t="shared" si="8"/>
        <v>222.77965410246472</v>
      </c>
      <c r="I110" s="73">
        <f t="shared" si="5"/>
        <v>222.77965410246472</v>
      </c>
      <c r="J110" s="73">
        <f t="shared" si="9"/>
        <v>1.3535804215564546E-7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53.00806508381455</v>
      </c>
      <c r="G111" s="73">
        <f t="shared" si="7"/>
        <v>1.0488849634611571E-6</v>
      </c>
      <c r="H111" s="73">
        <f t="shared" si="8"/>
        <v>262.8573567969429</v>
      </c>
      <c r="I111" s="73">
        <f t="shared" si="5"/>
        <v>262.8573567969429</v>
      </c>
      <c r="J111" s="73">
        <f t="shared" si="9"/>
        <v>4.6641705145548732E-8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54.941709366791592</v>
      </c>
      <c r="G112" s="73">
        <f t="shared" si="7"/>
        <v>4.0972366281693415E-7</v>
      </c>
      <c r="H112" s="73">
        <f t="shared" si="8"/>
        <v>310.14497396829768</v>
      </c>
      <c r="I112" s="73">
        <f t="shared" si="5"/>
        <v>310.14497396829768</v>
      </c>
      <c r="J112" s="73">
        <f t="shared" si="9"/>
        <v>1.5441624772251945E-8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56.875353649768542</v>
      </c>
      <c r="G113" s="73">
        <f t="shared" si="7"/>
        <v>1.5377383811725094E-7</v>
      </c>
      <c r="H113" s="73">
        <f t="shared" si="8"/>
        <v>365.93955767462876</v>
      </c>
      <c r="I113" s="73">
        <f t="shared" si="5"/>
        <v>365.93955767462876</v>
      </c>
      <c r="J113" s="73">
        <f t="shared" si="9"/>
        <v>4.9117900111057919E-9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-0.14486906122663501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76.806080912271241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-1.8137928661539073E-3</v>
      </c>
      <c r="H120" s="69" t="s">
        <v>50</v>
      </c>
      <c r="I120" s="79">
        <f>IF($B$9&gt;3,INDEX(XX!$C$4:$C$150,$B$9))</f>
        <v>0.22570000000000001</v>
      </c>
      <c r="J120" s="79">
        <f>IF($B$9&gt;3,INDEX(XX!$D$4:$D$150,$B$9))</f>
        <v>0.29380000000000001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39184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B36" sqref="B36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144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35815</v>
      </c>
      <c r="N3" s="57">
        <v>0.5</v>
      </c>
      <c r="O3" s="58">
        <f t="shared" ref="O3:O66" si="0">IF($N3&gt;0,LN($N3+$B$26))</f>
        <v>0.40546510810816438</v>
      </c>
      <c r="T3" s="69" t="s">
        <v>109</v>
      </c>
      <c r="U3" s="82">
        <f>$B$21</f>
        <v>1.0225201425249786</v>
      </c>
      <c r="V3" s="82">
        <f t="shared" ref="V3:V10" si="1">U3</f>
        <v>1.0225201425249786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36187</v>
      </c>
      <c r="N4" s="57">
        <v>0.5</v>
      </c>
      <c r="O4" s="58">
        <f t="shared" si="0"/>
        <v>0.40546510810816438</v>
      </c>
      <c r="T4" s="69" t="s">
        <v>111</v>
      </c>
      <c r="U4" s="82">
        <f>$B$31</f>
        <v>0.80957624113210525</v>
      </c>
      <c r="V4" s="82">
        <f t="shared" si="1"/>
        <v>0.80957624113210525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36347</v>
      </c>
      <c r="N5" s="57">
        <v>2</v>
      </c>
      <c r="O5" s="58">
        <f t="shared" si="0"/>
        <v>1.0986122886681098</v>
      </c>
      <c r="T5" s="69" t="s">
        <v>110</v>
      </c>
      <c r="U5" s="82">
        <f>$B$22</f>
        <v>1.1596867236144457</v>
      </c>
      <c r="V5" s="82">
        <f t="shared" si="1"/>
        <v>1.1596867236144457</v>
      </c>
    </row>
    <row r="6" spans="1:24" ht="15" customHeight="1" x14ac:dyDescent="0.25">
      <c r="A6" s="107" t="s">
        <v>18</v>
      </c>
      <c r="B6" s="116">
        <v>0.2</v>
      </c>
      <c r="C6" s="18"/>
      <c r="M6" s="56">
        <v>36550</v>
      </c>
      <c r="N6" s="57">
        <v>1.2</v>
      </c>
      <c r="O6" s="58">
        <f t="shared" si="0"/>
        <v>0.78845736036427028</v>
      </c>
      <c r="T6" s="69" t="s">
        <v>29</v>
      </c>
      <c r="U6" s="82">
        <f>$B$32</f>
        <v>0.98304111629515045</v>
      </c>
      <c r="V6" s="82">
        <f t="shared" si="1"/>
        <v>0.98304111629515045</v>
      </c>
    </row>
    <row r="7" spans="1:24" ht="15" customHeight="1" x14ac:dyDescent="0.2">
      <c r="D7" s="4"/>
      <c r="F7" s="5"/>
      <c r="M7" s="56">
        <v>36712</v>
      </c>
      <c r="N7" s="57">
        <v>0.5</v>
      </c>
      <c r="O7" s="58">
        <f t="shared" si="0"/>
        <v>0.40546510810816438</v>
      </c>
      <c r="T7" s="69" t="s">
        <v>31</v>
      </c>
      <c r="U7" s="82">
        <f>$C$21</f>
        <v>-0.44502014252497901</v>
      </c>
      <c r="V7" s="82">
        <f t="shared" si="1"/>
        <v>-0.44502014252497901</v>
      </c>
    </row>
    <row r="8" spans="1:24" ht="15" customHeight="1" x14ac:dyDescent="0.25">
      <c r="A8" s="140" t="s">
        <v>12</v>
      </c>
      <c r="B8" s="140"/>
      <c r="C8" s="140"/>
      <c r="D8" s="4"/>
      <c r="M8" s="56">
        <v>36914</v>
      </c>
      <c r="N8" s="57">
        <v>0.1</v>
      </c>
      <c r="O8" s="58">
        <f t="shared" si="0"/>
        <v>9.5310179804324935E-2</v>
      </c>
      <c r="T8" s="69" t="s">
        <v>32</v>
      </c>
      <c r="U8" s="82">
        <f>$C$31</f>
        <v>-0.21391341029942518</v>
      </c>
      <c r="V8" s="82">
        <f t="shared" si="1"/>
        <v>-0.21391341029942518</v>
      </c>
    </row>
    <row r="9" spans="1:24" ht="15" customHeight="1" x14ac:dyDescent="0.2">
      <c r="A9" s="101" t="s">
        <v>11</v>
      </c>
      <c r="B9" s="59">
        <f>COUNT($M$3:$M252)</f>
        <v>40</v>
      </c>
      <c r="C9" s="60"/>
      <c r="D9" s="4"/>
      <c r="M9" s="56">
        <v>37089</v>
      </c>
      <c r="N9" s="57">
        <v>0.1</v>
      </c>
      <c r="O9" s="58">
        <f t="shared" si="0"/>
        <v>9.5310179804324935E-2</v>
      </c>
      <c r="T9" s="69" t="s">
        <v>112</v>
      </c>
      <c r="U9" s="82">
        <f>$C$22</f>
        <v>-0.58218672361444623</v>
      </c>
      <c r="V9" s="82">
        <f t="shared" si="1"/>
        <v>-0.58218672361444623</v>
      </c>
    </row>
    <row r="10" spans="1:24" ht="15" customHeight="1" x14ac:dyDescent="0.2">
      <c r="A10" s="102" t="s">
        <v>7</v>
      </c>
      <c r="B10" s="61">
        <f>MIN($N$3:$N$252)</f>
        <v>0.1</v>
      </c>
      <c r="C10" s="60"/>
      <c r="D10" s="4"/>
      <c r="M10" s="56">
        <v>37328</v>
      </c>
      <c r="N10" s="57">
        <v>0.5</v>
      </c>
      <c r="O10" s="58">
        <f t="shared" si="0"/>
        <v>0.40546510810816438</v>
      </c>
      <c r="T10" s="69" t="s">
        <v>113</v>
      </c>
      <c r="U10" s="82">
        <f>$C$32</f>
        <v>-0.29593532327521294</v>
      </c>
      <c r="V10" s="82">
        <f t="shared" si="1"/>
        <v>-0.29593532327521294</v>
      </c>
    </row>
    <row r="11" spans="1:24" ht="15" customHeight="1" x14ac:dyDescent="0.2">
      <c r="A11" s="102" t="s">
        <v>8</v>
      </c>
      <c r="B11" s="61">
        <f>MAX($N$3:$N$252)</f>
        <v>2</v>
      </c>
      <c r="C11" s="60"/>
      <c r="D11" s="4"/>
      <c r="M11" s="56">
        <v>37467</v>
      </c>
      <c r="N11" s="57">
        <v>0.5</v>
      </c>
      <c r="O11" s="58">
        <f t="shared" si="0"/>
        <v>0.40546510810816438</v>
      </c>
      <c r="T11" s="69" t="s">
        <v>68</v>
      </c>
      <c r="U11" s="82">
        <f>$B$12</f>
        <v>0.1</v>
      </c>
      <c r="V11" s="82">
        <f>U11</f>
        <v>0.1</v>
      </c>
    </row>
    <row r="12" spans="1:24" ht="15" customHeight="1" x14ac:dyDescent="0.2">
      <c r="A12" s="102" t="s">
        <v>68</v>
      </c>
      <c r="B12" s="62">
        <f>MEDIAN($N$3:$N$252)</f>
        <v>0.1</v>
      </c>
      <c r="C12" s="50"/>
      <c r="D12" s="4"/>
      <c r="M12" s="56">
        <v>37649</v>
      </c>
      <c r="N12" s="57">
        <v>0.5</v>
      </c>
      <c r="O12" s="58">
        <f t="shared" si="0"/>
        <v>0.40546510810816438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37825</v>
      </c>
      <c r="N13" s="57">
        <v>0.5</v>
      </c>
      <c r="O13" s="58">
        <f t="shared" si="0"/>
        <v>0.40546510810816438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38012</v>
      </c>
      <c r="N14" s="57">
        <v>0.97</v>
      </c>
      <c r="O14" s="58">
        <f t="shared" si="0"/>
        <v>0.67803354274989713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38187</v>
      </c>
      <c r="N15" s="57">
        <v>0.48</v>
      </c>
      <c r="O15" s="58">
        <f t="shared" si="0"/>
        <v>0.39204208777602367</v>
      </c>
      <c r="T15" s="69">
        <v>1</v>
      </c>
      <c r="U15" s="77">
        <f t="shared" ref="U15:U39" si="3">$B$36+T15*$B$38</f>
        <v>8.4000000000000005E-2</v>
      </c>
      <c r="V15" s="84">
        <f>FREQUENCY($N$3:$N$252,$U$15:$U$39)</f>
        <v>0</v>
      </c>
      <c r="W15" s="79">
        <f t="shared" ref="W15:W39" si="4">(U15+U14)/2</f>
        <v>4.2000000000000003E-2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0.28874999999999973</v>
      </c>
      <c r="C16" s="60"/>
      <c r="M16" s="56">
        <v>38378</v>
      </c>
      <c r="N16" s="57">
        <v>0.2</v>
      </c>
      <c r="O16" s="58">
        <f t="shared" si="0"/>
        <v>0.18232155679395459</v>
      </c>
      <c r="T16" s="69">
        <v>2</v>
      </c>
      <c r="U16" s="77">
        <f t="shared" si="3"/>
        <v>0.16800000000000001</v>
      </c>
      <c r="V16" s="84">
        <f t="array" ref="V16:V40">FREQUENCY($N$3:$N$252,$U$15:$U$39)</f>
        <v>0</v>
      </c>
      <c r="W16" s="79">
        <f t="shared" si="4"/>
        <v>0.126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0.3743794010057655</v>
      </c>
      <c r="C17" s="60"/>
      <c r="D17" s="4"/>
      <c r="M17" s="56">
        <v>38545</v>
      </c>
      <c r="N17" s="57">
        <v>0.2</v>
      </c>
      <c r="O17" s="58">
        <f t="shared" si="0"/>
        <v>0.18232155679395459</v>
      </c>
      <c r="T17" s="69">
        <v>3</v>
      </c>
      <c r="U17" s="77">
        <f t="shared" si="3"/>
        <v>0.252</v>
      </c>
      <c r="V17" s="84">
        <v>24</v>
      </c>
      <c r="W17" s="79">
        <f t="shared" si="4"/>
        <v>0.21000000000000002</v>
      </c>
      <c r="X17" s="80">
        <f t="shared" si="2"/>
        <v>7.1428571428571432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0.52838614091665337</v>
      </c>
      <c r="C18" s="114" t="s">
        <v>45</v>
      </c>
      <c r="D18" s="4"/>
      <c r="J18" s="6"/>
      <c r="M18" s="56">
        <v>38755</v>
      </c>
      <c r="N18" s="57">
        <v>0.2</v>
      </c>
      <c r="O18" s="58">
        <f t="shared" si="0"/>
        <v>0.18232155679395459</v>
      </c>
      <c r="T18" s="69">
        <v>4</v>
      </c>
      <c r="U18" s="77">
        <f t="shared" si="3"/>
        <v>0.33600000000000002</v>
      </c>
      <c r="V18" s="84">
        <v>5</v>
      </c>
      <c r="W18" s="79">
        <f t="shared" si="4"/>
        <v>0.29400000000000004</v>
      </c>
      <c r="X18" s="80">
        <f t="shared" si="2"/>
        <v>1.4880952380952379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38911</v>
      </c>
      <c r="N19" s="57">
        <v>0.2</v>
      </c>
      <c r="O19" s="58">
        <f t="shared" si="0"/>
        <v>0.18232155679395459</v>
      </c>
      <c r="T19" s="69">
        <v>5</v>
      </c>
      <c r="U19" s="77">
        <f t="shared" si="3"/>
        <v>0.42000000000000004</v>
      </c>
      <c r="V19" s="84">
        <v>0</v>
      </c>
      <c r="W19" s="79">
        <f t="shared" si="4"/>
        <v>0.378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39105</v>
      </c>
      <c r="N20" s="57">
        <v>0.2</v>
      </c>
      <c r="O20" s="58">
        <f t="shared" si="0"/>
        <v>0.18232155679395459</v>
      </c>
      <c r="T20" s="69">
        <v>6</v>
      </c>
      <c r="U20" s="77">
        <f t="shared" si="3"/>
        <v>0.504</v>
      </c>
      <c r="V20" s="84">
        <v>0</v>
      </c>
      <c r="W20" s="79">
        <f t="shared" si="4"/>
        <v>0.46200000000000002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1.0225201425249786</v>
      </c>
      <c r="C21" s="62">
        <f>NORMINV(0.025,$B$16,$B$17)</f>
        <v>-0.44502014252497901</v>
      </c>
      <c r="D21" s="4"/>
      <c r="M21" s="56">
        <v>39274</v>
      </c>
      <c r="N21" s="57">
        <v>0.1</v>
      </c>
      <c r="O21" s="58">
        <f t="shared" si="0"/>
        <v>9.5310179804324935E-2</v>
      </c>
      <c r="T21" s="69">
        <v>7</v>
      </c>
      <c r="U21" s="77">
        <f t="shared" si="3"/>
        <v>0.58800000000000008</v>
      </c>
      <c r="V21" s="84">
        <v>8</v>
      </c>
      <c r="W21" s="79">
        <f t="shared" si="4"/>
        <v>0.54600000000000004</v>
      </c>
      <c r="X21" s="80">
        <f t="shared" si="2"/>
        <v>2.3809523809523805</v>
      </c>
    </row>
    <row r="22" spans="1:24" ht="15" customHeight="1" x14ac:dyDescent="0.2">
      <c r="A22" s="104" t="s">
        <v>77</v>
      </c>
      <c r="B22" s="62">
        <f>NORMINV(0.99,$B$16,$B$17)</f>
        <v>1.1596867236144457</v>
      </c>
      <c r="C22" s="62">
        <f>NORMINV(0.01,B16,B17)</f>
        <v>-0.58218672361444623</v>
      </c>
      <c r="M22" s="56">
        <v>39457</v>
      </c>
      <c r="N22" s="57">
        <v>0.1</v>
      </c>
      <c r="O22" s="58">
        <f t="shared" si="0"/>
        <v>9.5310179804324935E-2</v>
      </c>
      <c r="T22" s="69">
        <v>8</v>
      </c>
      <c r="U22" s="77">
        <f t="shared" si="3"/>
        <v>0.67200000000000004</v>
      </c>
      <c r="V22" s="84">
        <v>0</v>
      </c>
      <c r="W22" s="79">
        <f t="shared" si="4"/>
        <v>0.63000000000000012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1.2596867236144458</v>
      </c>
      <c r="E23" s="144" t="s">
        <v>80</v>
      </c>
      <c r="F23" s="144"/>
      <c r="G23" s="144"/>
      <c r="M23" s="56">
        <v>39664</v>
      </c>
      <c r="N23" s="57">
        <v>0.1</v>
      </c>
      <c r="O23" s="58">
        <f t="shared" si="0"/>
        <v>9.5310179804324935E-2</v>
      </c>
      <c r="T23" s="69">
        <v>9</v>
      </c>
      <c r="U23" s="77">
        <f t="shared" si="3"/>
        <v>0.75600000000000001</v>
      </c>
      <c r="V23" s="84">
        <v>0</v>
      </c>
      <c r="W23" s="79">
        <f t="shared" si="4"/>
        <v>0.71399999999999997</v>
      </c>
      <c r="X23" s="80">
        <f t="shared" si="2"/>
        <v>0</v>
      </c>
    </row>
    <row r="24" spans="1:24" ht="15" customHeight="1" x14ac:dyDescent="0.2">
      <c r="M24" s="56">
        <v>39881</v>
      </c>
      <c r="N24" s="57">
        <v>0.1</v>
      </c>
      <c r="O24" s="58">
        <f t="shared" si="0"/>
        <v>9.5310179804324935E-2</v>
      </c>
      <c r="T24" s="69">
        <v>10</v>
      </c>
      <c r="U24" s="77">
        <f t="shared" si="3"/>
        <v>0.84000000000000008</v>
      </c>
      <c r="V24" s="84">
        <v>0</v>
      </c>
      <c r="W24" s="79">
        <f t="shared" si="4"/>
        <v>0.79800000000000004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40001</v>
      </c>
      <c r="N25" s="57">
        <v>0.1</v>
      </c>
      <c r="O25" s="58">
        <f t="shared" si="0"/>
        <v>9.5310179804324935E-2</v>
      </c>
      <c r="Q25" s="75" t="s">
        <v>68</v>
      </c>
      <c r="R25" s="75">
        <f>MEDIAN($O$3:$O$252)</f>
        <v>9.5310179804324935E-2</v>
      </c>
      <c r="T25" s="69">
        <v>11</v>
      </c>
      <c r="U25" s="77">
        <f t="shared" si="3"/>
        <v>0.92400000000000004</v>
      </c>
      <c r="V25" s="84">
        <v>0</v>
      </c>
      <c r="W25" s="79">
        <f t="shared" si="4"/>
        <v>0.88200000000000012</v>
      </c>
      <c r="X25" s="80">
        <f t="shared" si="2"/>
        <v>0</v>
      </c>
    </row>
    <row r="26" spans="1:24" ht="15" customHeight="1" x14ac:dyDescent="0.2">
      <c r="A26" s="86" t="s">
        <v>36</v>
      </c>
      <c r="B26" s="134">
        <v>1</v>
      </c>
      <c r="C26" s="62"/>
      <c r="E26" s="7" t="e">
        <f>AVERAGE(C50:C199)</f>
        <v>#DIV/0!</v>
      </c>
      <c r="M26" s="56">
        <v>40206</v>
      </c>
      <c r="N26" s="57">
        <v>0.1</v>
      </c>
      <c r="O26" s="58">
        <f t="shared" si="0"/>
        <v>9.5310179804324935E-2</v>
      </c>
      <c r="Q26" s="75" t="s">
        <v>73</v>
      </c>
      <c r="R26" s="75">
        <f>AVERAGE($O$3:$O$252)</f>
        <v>0.22486132838972578</v>
      </c>
      <c r="T26" s="69">
        <v>12</v>
      </c>
      <c r="U26" s="77">
        <f t="shared" si="3"/>
        <v>1.008</v>
      </c>
      <c r="V26" s="84">
        <v>0</v>
      </c>
      <c r="W26" s="79">
        <f t="shared" si="4"/>
        <v>0.96599999999999997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1.2521490666246378</v>
      </c>
      <c r="C27" s="62"/>
      <c r="E27" s="7" t="e">
        <f>STDEV(C50:C199)</f>
        <v>#DIV/0!</v>
      </c>
      <c r="F27" s="7" t="e">
        <f>NORMINV(0.025,$E26,$E27)</f>
        <v>#DIV/0!</v>
      </c>
      <c r="M27" s="56">
        <v>40365</v>
      </c>
      <c r="N27" s="57">
        <v>0.1</v>
      </c>
      <c r="O27" s="58">
        <f t="shared" si="0"/>
        <v>9.5310179804324935E-2</v>
      </c>
      <c r="Q27" s="75" t="s">
        <v>104</v>
      </c>
      <c r="R27" s="75">
        <f>STDEV($O$3:$O$252)</f>
        <v>0.22386877623780344</v>
      </c>
      <c r="T27" s="69">
        <v>13</v>
      </c>
      <c r="U27" s="77">
        <f t="shared" si="3"/>
        <v>1.0920000000000001</v>
      </c>
      <c r="V27" s="84">
        <v>1</v>
      </c>
      <c r="W27" s="79">
        <f t="shared" si="4"/>
        <v>1.05</v>
      </c>
      <c r="X27" s="80">
        <f t="shared" si="2"/>
        <v>0.29761904761904756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0.60649069933827027</v>
      </c>
      <c r="C28" s="115" t="s">
        <v>45</v>
      </c>
      <c r="F28" s="7" t="e">
        <f>NORMINV(0.01,$E$26,$E$27)</f>
        <v>#DIV/0!</v>
      </c>
      <c r="M28" s="56">
        <v>40577</v>
      </c>
      <c r="N28" s="57">
        <v>0.1</v>
      </c>
      <c r="O28" s="58">
        <f t="shared" si="0"/>
        <v>9.5310179804324935E-2</v>
      </c>
      <c r="Q28" s="75" t="s">
        <v>108</v>
      </c>
      <c r="R28" s="75">
        <f>NORMINV(0.025,$R$26,$R$27)</f>
        <v>-0.21391341029942518</v>
      </c>
      <c r="T28" s="69">
        <v>14</v>
      </c>
      <c r="U28" s="77">
        <f t="shared" si="3"/>
        <v>1.1760000000000002</v>
      </c>
      <c r="V28" s="84">
        <v>0</v>
      </c>
      <c r="W28" s="79">
        <f t="shared" si="4"/>
        <v>1.1340000000000001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schlecht</v>
      </c>
      <c r="C29" s="62"/>
      <c r="M29" s="56">
        <v>40764</v>
      </c>
      <c r="N29" s="57">
        <v>0.1</v>
      </c>
      <c r="O29" s="58">
        <f t="shared" si="0"/>
        <v>9.5310179804324935E-2</v>
      </c>
      <c r="Q29" s="75" t="s">
        <v>107</v>
      </c>
      <c r="R29" s="75">
        <f>NORMINV(0.01,$R$26,$R$27)</f>
        <v>-0.29593532327521294</v>
      </c>
      <c r="T29" s="69">
        <v>15</v>
      </c>
      <c r="U29" s="77">
        <f t="shared" si="3"/>
        <v>1.26</v>
      </c>
      <c r="V29" s="84">
        <v>0</v>
      </c>
      <c r="W29" s="79">
        <f t="shared" si="4"/>
        <v>1.218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40940</v>
      </c>
      <c r="N30" s="57">
        <v>0.1</v>
      </c>
      <c r="O30" s="58">
        <f t="shared" si="0"/>
        <v>9.5310179804324935E-2</v>
      </c>
      <c r="Q30" s="75" t="s">
        <v>105</v>
      </c>
      <c r="R30" s="75">
        <f>NORMINV(0.95,$R$26,$R$27)</f>
        <v>0.59309269694566424</v>
      </c>
      <c r="T30" s="69">
        <v>16</v>
      </c>
      <c r="U30" s="77">
        <f t="shared" si="3"/>
        <v>1.3440000000000001</v>
      </c>
      <c r="V30" s="84">
        <v>1</v>
      </c>
      <c r="W30" s="79">
        <f t="shared" si="4"/>
        <v>1.302</v>
      </c>
      <c r="X30" s="80">
        <f t="shared" si="2"/>
        <v>0.29761904761904756</v>
      </c>
    </row>
    <row r="31" spans="1:24" ht="15" customHeight="1" x14ac:dyDescent="0.2">
      <c r="A31" s="65" t="s">
        <v>98</v>
      </c>
      <c r="B31" s="62">
        <f>EXP($R30)-$B$26</f>
        <v>0.80957624113210525</v>
      </c>
      <c r="C31" s="62">
        <f>NORMINV(0.025,$R$26,$R$27)</f>
        <v>-0.21391341029942518</v>
      </c>
      <c r="E31" s="7" t="e">
        <f>NORMINV(0.98,$E$26,$E$27)</f>
        <v>#DIV/0!</v>
      </c>
      <c r="M31" s="56">
        <v>41094</v>
      </c>
      <c r="N31" s="57">
        <v>0.1</v>
      </c>
      <c r="O31" s="58">
        <f t="shared" si="0"/>
        <v>9.5310179804324935E-2</v>
      </c>
      <c r="Q31" s="75" t="s">
        <v>106</v>
      </c>
      <c r="R31" s="75">
        <f>NORMINV(0.98,$R$26,$R$27)</f>
        <v>0.68463158371259369</v>
      </c>
      <c r="T31" s="69">
        <v>17</v>
      </c>
      <c r="U31" s="77">
        <f t="shared" si="3"/>
        <v>1.4280000000000002</v>
      </c>
      <c r="V31" s="84">
        <v>0</v>
      </c>
      <c r="W31" s="79">
        <f t="shared" si="4"/>
        <v>1.3860000000000001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0.98304111629515045</v>
      </c>
      <c r="C32" s="62">
        <f>NORMINV(0.01,$R$26,$R$27)</f>
        <v>-0.29593532327521294</v>
      </c>
      <c r="M32" s="56">
        <v>41303</v>
      </c>
      <c r="N32" s="57">
        <v>0.1</v>
      </c>
      <c r="O32" s="58">
        <f t="shared" si="0"/>
        <v>9.5310179804324935E-2</v>
      </c>
      <c r="T32" s="69">
        <v>18</v>
      </c>
      <c r="U32" s="77">
        <f t="shared" si="3"/>
        <v>1.512</v>
      </c>
      <c r="V32" s="84">
        <v>0</v>
      </c>
      <c r="W32" s="79">
        <f t="shared" si="4"/>
        <v>1.4700000000000002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1.0830411162951505</v>
      </c>
      <c r="M33" s="56">
        <v>41470</v>
      </c>
      <c r="N33" s="57">
        <v>0.1</v>
      </c>
      <c r="O33" s="58">
        <f t="shared" si="0"/>
        <v>9.5310179804324935E-2</v>
      </c>
      <c r="T33" s="69">
        <v>19</v>
      </c>
      <c r="U33" s="77">
        <f t="shared" si="3"/>
        <v>1.5960000000000001</v>
      </c>
      <c r="V33" s="84">
        <v>0</v>
      </c>
      <c r="W33" s="79">
        <f t="shared" si="4"/>
        <v>1.554</v>
      </c>
      <c r="X33" s="80">
        <f t="shared" si="2"/>
        <v>0</v>
      </c>
    </row>
    <row r="34" spans="1:24" ht="15" customHeight="1" x14ac:dyDescent="0.2">
      <c r="M34" s="56">
        <v>41640</v>
      </c>
      <c r="N34" s="57">
        <v>0.1</v>
      </c>
      <c r="O34" s="58">
        <f t="shared" si="0"/>
        <v>9.5310179804324935E-2</v>
      </c>
      <c r="T34" s="69">
        <v>20</v>
      </c>
      <c r="U34" s="77">
        <f t="shared" si="3"/>
        <v>1.6800000000000002</v>
      </c>
      <c r="V34" s="84">
        <v>0</v>
      </c>
      <c r="W34" s="79">
        <f t="shared" si="4"/>
        <v>1.6380000000000001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41820</v>
      </c>
      <c r="N35" s="57">
        <v>0.1</v>
      </c>
      <c r="O35" s="58">
        <f t="shared" si="0"/>
        <v>9.5310179804324935E-2</v>
      </c>
      <c r="T35" s="69">
        <v>21</v>
      </c>
      <c r="U35" s="77">
        <f t="shared" si="3"/>
        <v>1.764</v>
      </c>
      <c r="V35" s="84">
        <v>0</v>
      </c>
      <c r="W35" s="79">
        <f t="shared" si="4"/>
        <v>1.722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42016</v>
      </c>
      <c r="N36" s="57">
        <v>0.1</v>
      </c>
      <c r="O36" s="58">
        <f t="shared" si="0"/>
        <v>9.5310179804324935E-2</v>
      </c>
      <c r="T36" s="69">
        <v>22</v>
      </c>
      <c r="U36" s="77">
        <f t="shared" si="3"/>
        <v>1.8480000000000001</v>
      </c>
      <c r="V36" s="84">
        <v>0</v>
      </c>
      <c r="W36" s="79">
        <f t="shared" si="4"/>
        <v>1.806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2.1</v>
      </c>
      <c r="D37" s="8"/>
      <c r="E37" s="8"/>
      <c r="M37" s="56">
        <v>42114</v>
      </c>
      <c r="N37" s="57">
        <v>0.1</v>
      </c>
      <c r="O37" s="58">
        <f t="shared" si="0"/>
        <v>9.5310179804324935E-2</v>
      </c>
      <c r="T37" s="69">
        <v>23</v>
      </c>
      <c r="U37" s="77">
        <f t="shared" si="3"/>
        <v>1.9320000000000002</v>
      </c>
      <c r="V37" s="84">
        <v>0</v>
      </c>
      <c r="W37" s="79">
        <f t="shared" si="4"/>
        <v>1.8900000000000001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8.4000000000000005E-2</v>
      </c>
      <c r="M38" s="56">
        <v>42206</v>
      </c>
      <c r="N38" s="57">
        <v>0.1</v>
      </c>
      <c r="O38" s="58">
        <f t="shared" si="0"/>
        <v>9.5310179804324935E-2</v>
      </c>
      <c r="T38" s="69">
        <v>24</v>
      </c>
      <c r="U38" s="77">
        <f t="shared" si="3"/>
        <v>2.016</v>
      </c>
      <c r="V38" s="84">
        <v>0</v>
      </c>
      <c r="W38" s="79">
        <f t="shared" si="4"/>
        <v>1.9740000000000002</v>
      </c>
      <c r="X38" s="80">
        <f t="shared" si="2"/>
        <v>0</v>
      </c>
    </row>
    <row r="39" spans="1:24" ht="15" x14ac:dyDescent="0.2">
      <c r="M39" s="56">
        <v>42395</v>
      </c>
      <c r="N39" s="57">
        <v>0.1</v>
      </c>
      <c r="O39" s="58">
        <f t="shared" si="0"/>
        <v>9.5310179804324935E-2</v>
      </c>
      <c r="T39" s="69">
        <v>25</v>
      </c>
      <c r="U39" s="77">
        <f t="shared" si="3"/>
        <v>2.1</v>
      </c>
      <c r="V39" s="84">
        <v>1</v>
      </c>
      <c r="W39" s="79">
        <f t="shared" si="4"/>
        <v>2.0579999999999998</v>
      </c>
      <c r="X39" s="80">
        <f t="shared" si="2"/>
        <v>0.29761904761904756</v>
      </c>
    </row>
    <row r="40" spans="1:24" ht="15" x14ac:dyDescent="0.2">
      <c r="M40" s="56">
        <v>42467</v>
      </c>
      <c r="N40" s="57">
        <v>0.1</v>
      </c>
      <c r="O40" s="58">
        <f t="shared" si="0"/>
        <v>9.5310179804324935E-2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42556</v>
      </c>
      <c r="N41" s="57">
        <v>0.1</v>
      </c>
      <c r="O41" s="58">
        <f t="shared" si="0"/>
        <v>9.5310179804324935E-2</v>
      </c>
    </row>
    <row r="42" spans="1:24" ht="15" x14ac:dyDescent="0.2">
      <c r="M42" s="56">
        <v>42660</v>
      </c>
      <c r="N42" s="57">
        <v>0.1</v>
      </c>
      <c r="O42" s="58">
        <f t="shared" si="0"/>
        <v>9.5310179804324935E-2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-8.4000000000000003E-4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8.4000000000000003E-4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8.3160000000000012E-2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8.4839999999999999E-2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0.16716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0.16884000000000002</v>
      </c>
      <c r="U51" s="28">
        <f>$X$17</f>
        <v>7.1428571428571432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0.25115999999999999</v>
      </c>
      <c r="U52" s="28">
        <f>$X$17</f>
        <v>7.1428571428571432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0.25284000000000001</v>
      </c>
      <c r="U53" s="28">
        <f>$X$18</f>
        <v>1.4880952380952379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0.33516000000000001</v>
      </c>
      <c r="U54" s="28">
        <f>$X$18</f>
        <v>1.4880952380952379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0.33684000000000003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0.41916000000000003</v>
      </c>
      <c r="U56" s="28">
        <f>$X$19</f>
        <v>0</v>
      </c>
    </row>
    <row r="57" spans="5:21" ht="15" x14ac:dyDescent="0.2">
      <c r="E57" s="70">
        <v>1</v>
      </c>
      <c r="F57" s="74">
        <f>$B$21</f>
        <v>1.0225201425249786</v>
      </c>
      <c r="G57" s="74">
        <f>$C$21</f>
        <v>-0.44502014252497901</v>
      </c>
      <c r="H57" s="74">
        <f>$B$22</f>
        <v>1.1596867236144457</v>
      </c>
      <c r="I57" s="74">
        <f>$C$22</f>
        <v>-0.58218672361444623</v>
      </c>
      <c r="J57" s="74">
        <f>$B$31</f>
        <v>0.80957624113210525</v>
      </c>
      <c r="K57" s="74">
        <f>$B$32</f>
        <v>0.98304111629515045</v>
      </c>
      <c r="M57" s="56"/>
      <c r="N57" s="57"/>
      <c r="O57" s="58" t="b">
        <f t="shared" si="0"/>
        <v>0</v>
      </c>
      <c r="T57" s="85">
        <f>$U$19+$B$38/100</f>
        <v>0.42084000000000005</v>
      </c>
      <c r="U57" s="28">
        <f>$X$20</f>
        <v>0</v>
      </c>
    </row>
    <row r="58" spans="5:21" ht="15" x14ac:dyDescent="0.2">
      <c r="E58" s="70">
        <v>73415</v>
      </c>
      <c r="F58" s="74">
        <f>$B$21</f>
        <v>1.0225201425249786</v>
      </c>
      <c r="G58" s="74">
        <f>$C$21</f>
        <v>-0.44502014252497901</v>
      </c>
      <c r="H58" s="74">
        <f>$B$22</f>
        <v>1.1596867236144457</v>
      </c>
      <c r="I58" s="74">
        <f>$C$22</f>
        <v>-0.58218672361444623</v>
      </c>
      <c r="J58" s="74">
        <f>$B$31</f>
        <v>0.80957624113210525</v>
      </c>
      <c r="K58" s="74">
        <f>$B$32</f>
        <v>0.98304111629515045</v>
      </c>
      <c r="M58" s="56"/>
      <c r="N58" s="57"/>
      <c r="O58" s="58" t="b">
        <f t="shared" si="0"/>
        <v>0</v>
      </c>
      <c r="T58" s="85">
        <f>$U$20-$B$38/100</f>
        <v>0.50316000000000005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0.50483999999999996</v>
      </c>
      <c r="U59" s="28">
        <f>$X$21</f>
        <v>2.3809523809523805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0.58716000000000013</v>
      </c>
      <c r="U60" s="28">
        <f>$X$21</f>
        <v>2.3809523809523805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0.58884000000000003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0.67116000000000009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-1.5831470050288279</v>
      </c>
      <c r="G63" s="73">
        <f>NORMDIST($F63,$B$16,$B$17,FALSE)</f>
        <v>3.9711573626653583E-6</v>
      </c>
      <c r="H63" s="73">
        <f>EXP($R$26+$E63*$R$27)</f>
        <v>0.40881908621106022</v>
      </c>
      <c r="I63" s="73">
        <f t="shared" ref="I63:I113" si="5">H63-$B$26</f>
        <v>-0.59118091378893978</v>
      </c>
      <c r="J63" s="73">
        <f>1/$H63/SQRT(2*PI())/$R$27*EXP(-POWER(LN($H63)-$R$26,2)/2/POWER($R$27,2))</f>
        <v>1.6244425385389561E-5</v>
      </c>
      <c r="K63" s="73">
        <f>LOGNORMDIST($H63,$R$26,$R$27)</f>
        <v>2.8665157187919439E-7</v>
      </c>
      <c r="M63" s="56"/>
      <c r="N63" s="57"/>
      <c r="O63" s="58" t="b">
        <f t="shared" si="0"/>
        <v>0</v>
      </c>
      <c r="T63" s="85">
        <f>$U$22+$B$38/100</f>
        <v>0.67283999999999999</v>
      </c>
      <c r="U63" s="28">
        <f>$X$23</f>
        <v>0</v>
      </c>
    </row>
    <row r="64" spans="5:21" ht="15" x14ac:dyDescent="0.2">
      <c r="E64" s="72">
        <v>-4.8</v>
      </c>
      <c r="F64" s="73">
        <f t="shared" ref="F64:F113" si="6">$B$16+$E64*$B$17</f>
        <v>-1.5082711248276746</v>
      </c>
      <c r="G64" s="73">
        <f t="shared" ref="G64:G113" si="7">NORMDIST($F64,$B$16,$B$17,FALSE)</f>
        <v>1.0580975022637719E-5</v>
      </c>
      <c r="H64" s="73">
        <f t="shared" ref="H64:H113" si="8">EXP($R$26+$E64*$R$27)</f>
        <v>0.42753941434724702</v>
      </c>
      <c r="I64" s="73">
        <f t="shared" si="5"/>
        <v>-0.57246058565275293</v>
      </c>
      <c r="J64" s="73">
        <f t="shared" ref="J64:J113" si="9">1/$H64/SQRT(2*PI())/$R$27*EXP(-POWER(LN($H64)-$R$26,2)/2/POWER($R$27,2))</f>
        <v>4.1387381573638025E-5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0.75516000000000005</v>
      </c>
      <c r="U64" s="28">
        <f>$X$23</f>
        <v>0</v>
      </c>
    </row>
    <row r="65" spans="5:21" ht="15" x14ac:dyDescent="0.2">
      <c r="E65" s="72">
        <v>-4.5999999999999996</v>
      </c>
      <c r="F65" s="73">
        <f t="shared" si="6"/>
        <v>-1.4333952446265212</v>
      </c>
      <c r="G65" s="73">
        <f t="shared" si="7"/>
        <v>2.7087099445758736E-5</v>
      </c>
      <c r="H65" s="73">
        <f t="shared" si="8"/>
        <v>0.44711696930416389</v>
      </c>
      <c r="I65" s="73">
        <f t="shared" si="5"/>
        <v>-0.55288303069583611</v>
      </c>
      <c r="J65" s="73">
        <f t="shared" si="9"/>
        <v>1.0131173881385377E-4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0.75683999999999996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-1.3585193644253688</v>
      </c>
      <c r="G66" s="73">
        <f t="shared" si="7"/>
        <v>6.6623514069005425E-5</v>
      </c>
      <c r="H66" s="73">
        <f t="shared" si="8"/>
        <v>0.46759100455091845</v>
      </c>
      <c r="I66" s="73">
        <f t="shared" si="5"/>
        <v>-0.5324089954490816</v>
      </c>
      <c r="J66" s="73">
        <f t="shared" si="9"/>
        <v>2.3827572963404104E-4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0.83916000000000013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-1.2836434842242155</v>
      </c>
      <c r="G67" s="73">
        <f t="shared" si="7"/>
        <v>1.574420697244294E-4</v>
      </c>
      <c r="H67" s="73">
        <f t="shared" si="8"/>
        <v>0.48900257102118655</v>
      </c>
      <c r="I67" s="73">
        <f t="shared" si="5"/>
        <v>-0.51099742897881351</v>
      </c>
      <c r="J67" s="73">
        <f t="shared" si="9"/>
        <v>5.3842853455195855E-4</v>
      </c>
      <c r="K67" s="73">
        <f t="shared" si="10"/>
        <v>1.3345749015906261E-5</v>
      </c>
      <c r="M67" s="56"/>
      <c r="N67" s="57"/>
      <c r="O67" s="58" t="b">
        <f t="shared" ref="O67:O130" si="11">IF($N67&gt;0,LN($N67+$B$26))</f>
        <v>0</v>
      </c>
      <c r="T67" s="85">
        <f>$U$24+$B$38/100</f>
        <v>0.84084000000000003</v>
      </c>
      <c r="U67" s="28">
        <f>$X$25</f>
        <v>0</v>
      </c>
    </row>
    <row r="68" spans="5:21" ht="15" x14ac:dyDescent="0.2">
      <c r="E68" s="72">
        <v>-4</v>
      </c>
      <c r="F68" s="73">
        <f t="shared" si="6"/>
        <v>-1.2087676040230622</v>
      </c>
      <c r="G68" s="73">
        <f t="shared" si="7"/>
        <v>3.5747219373008282E-4</v>
      </c>
      <c r="H68" s="73">
        <f t="shared" si="8"/>
        <v>0.51139459942132237</v>
      </c>
      <c r="I68" s="73">
        <f t="shared" si="5"/>
        <v>-0.48860540057867763</v>
      </c>
      <c r="J68" s="73">
        <f t="shared" si="9"/>
        <v>1.1689731822819602E-3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0.92316000000000009</v>
      </c>
      <c r="U68" s="28">
        <f>$X$25</f>
        <v>0</v>
      </c>
    </row>
    <row r="69" spans="5:21" ht="15" x14ac:dyDescent="0.2">
      <c r="E69" s="72">
        <v>-3.8</v>
      </c>
      <c r="F69" s="73">
        <f t="shared" si="6"/>
        <v>-1.1338917238219093</v>
      </c>
      <c r="G69" s="73">
        <f t="shared" si="7"/>
        <v>7.7981567630897378E-4</v>
      </c>
      <c r="H69" s="73">
        <f t="shared" si="8"/>
        <v>0.53481198630745819</v>
      </c>
      <c r="I69" s="73">
        <f t="shared" si="5"/>
        <v>-0.46518801369254181</v>
      </c>
      <c r="J69" s="73">
        <f t="shared" si="9"/>
        <v>2.4384241396334183E-3</v>
      </c>
      <c r="K69" s="73">
        <f t="shared" si="10"/>
        <v>7.2348043925119787E-5</v>
      </c>
      <c r="M69" s="56"/>
      <c r="N69" s="57"/>
      <c r="O69" s="58" t="b">
        <f t="shared" si="11"/>
        <v>0</v>
      </c>
      <c r="T69" s="85">
        <f>$U$25+$B$38/100</f>
        <v>0.92484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-1.059015843620756</v>
      </c>
      <c r="G70" s="73">
        <f t="shared" si="7"/>
        <v>1.6344433707354228E-3</v>
      </c>
      <c r="H70" s="73">
        <f t="shared" si="8"/>
        <v>0.55930168410418146</v>
      </c>
      <c r="I70" s="73">
        <f t="shared" si="5"/>
        <v>-0.44069831589581854</v>
      </c>
      <c r="J70" s="73">
        <f t="shared" si="9"/>
        <v>4.8869981073124446E-3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1.0071600000000001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-0.98413996341960297</v>
      </c>
      <c r="G71" s="73">
        <f t="shared" si="7"/>
        <v>3.2913647630256329E-3</v>
      </c>
      <c r="H71" s="73">
        <f t="shared" si="8"/>
        <v>0.58491279524527595</v>
      </c>
      <c r="I71" s="73">
        <f t="shared" si="5"/>
        <v>-0.41508720475472405</v>
      </c>
      <c r="J71" s="73">
        <f t="shared" si="9"/>
        <v>9.4102966281332159E-3</v>
      </c>
      <c r="K71" s="73">
        <f t="shared" si="10"/>
        <v>3.3692926567687983E-4</v>
      </c>
      <c r="M71" s="56"/>
      <c r="N71" s="57"/>
      <c r="O71" s="58" t="b">
        <f t="shared" si="11"/>
        <v>0</v>
      </c>
      <c r="T71" s="85">
        <f>$U$26+$B$38/100</f>
        <v>1.00884</v>
      </c>
      <c r="U71" s="28">
        <f>$X$27</f>
        <v>0.29761904761904756</v>
      </c>
    </row>
    <row r="72" spans="5:21" ht="15" x14ac:dyDescent="0.2">
      <c r="E72" s="72">
        <v>-3.2</v>
      </c>
      <c r="F72" s="73">
        <f t="shared" si="6"/>
        <v>-0.90926408321844987</v>
      </c>
      <c r="G72" s="73">
        <f t="shared" si="7"/>
        <v>6.3681073132229437E-3</v>
      </c>
      <c r="H72" s="73">
        <f t="shared" si="8"/>
        <v>0.61169667062528388</v>
      </c>
      <c r="I72" s="73">
        <f t="shared" si="5"/>
        <v>-0.38830332937471612</v>
      </c>
      <c r="J72" s="73">
        <f t="shared" si="9"/>
        <v>1.7409755682352184E-2</v>
      </c>
      <c r="K72" s="73">
        <f t="shared" si="10"/>
        <v>6.8713793791584557E-4</v>
      </c>
      <c r="M72" s="56"/>
      <c r="N72" s="57"/>
      <c r="O72" s="58" t="b">
        <f t="shared" si="11"/>
        <v>0</v>
      </c>
      <c r="T72" s="85">
        <f>$U$27-$B$38/100</f>
        <v>1.0911600000000001</v>
      </c>
      <c r="U72" s="28">
        <f>$X$27</f>
        <v>0.29761904761904756</v>
      </c>
    </row>
    <row r="73" spans="5:21" ht="15" x14ac:dyDescent="0.2">
      <c r="E73" s="72">
        <v>-3</v>
      </c>
      <c r="F73" s="73">
        <f t="shared" si="6"/>
        <v>-0.83438820301729677</v>
      </c>
      <c r="G73" s="73">
        <f t="shared" si="7"/>
        <v>1.1837853258036908E-2</v>
      </c>
      <c r="H73" s="73">
        <f t="shared" si="8"/>
        <v>0.63970701255928653</v>
      </c>
      <c r="I73" s="73">
        <f t="shared" si="5"/>
        <v>-0.36029298744071347</v>
      </c>
      <c r="J73" s="73">
        <f t="shared" si="9"/>
        <v>3.0946408959894912E-2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1.09284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-0.75951232281614367</v>
      </c>
      <c r="G74" s="73">
        <f t="shared" si="7"/>
        <v>2.1142860856433895E-2</v>
      </c>
      <c r="H74" s="73">
        <f t="shared" si="8"/>
        <v>0.66899998245733827</v>
      </c>
      <c r="I74" s="73">
        <f t="shared" si="5"/>
        <v>-0.33100001754266173</v>
      </c>
      <c r="J74" s="73">
        <f t="shared" si="9"/>
        <v>5.2851347570158982E-2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1.1751600000000002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-0.68463644261499057</v>
      </c>
      <c r="G75" s="73">
        <f t="shared" si="7"/>
        <v>3.628129431586017E-2</v>
      </c>
      <c r="H75" s="73">
        <f t="shared" si="8"/>
        <v>0.69963431342944671</v>
      </c>
      <c r="I75" s="73">
        <f t="shared" si="5"/>
        <v>-0.30036568657055329</v>
      </c>
      <c r="J75" s="73">
        <f t="shared" si="9"/>
        <v>8.672216083510402E-2</v>
      </c>
      <c r="K75" s="73">
        <f t="shared" si="10"/>
        <v>4.6611880237187493E-3</v>
      </c>
      <c r="M75" s="56"/>
      <c r="N75" s="57"/>
      <c r="O75" s="58" t="b">
        <f t="shared" si="11"/>
        <v>0</v>
      </c>
      <c r="T75" s="85">
        <f>$U$28+$B$38/100</f>
        <v>1.1768400000000001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-0.60976056241383747</v>
      </c>
      <c r="G76" s="73">
        <f t="shared" si="7"/>
        <v>5.9817741667090328E-2</v>
      </c>
      <c r="H76" s="73">
        <f t="shared" si="8"/>
        <v>0.73167142804687246</v>
      </c>
      <c r="I76" s="73">
        <f t="shared" si="5"/>
        <v>-0.26832857195312754</v>
      </c>
      <c r="J76" s="73">
        <f t="shared" si="9"/>
        <v>0.13672009033161386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1.2591600000000001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-0.53488468221268448</v>
      </c>
      <c r="G77" s="73">
        <f t="shared" si="7"/>
        <v>9.4755728415958196E-2</v>
      </c>
      <c r="H77" s="73">
        <f t="shared" si="8"/>
        <v>0.76517556149586308</v>
      </c>
      <c r="I77" s="73">
        <f t="shared" si="5"/>
        <v>-0.23482443850413692</v>
      </c>
      <c r="J77" s="73">
        <f t="shared" si="9"/>
        <v>0.20709175258549481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1.26084</v>
      </c>
      <c r="U77" s="28">
        <f>$X$30</f>
        <v>0.29761904761904756</v>
      </c>
    </row>
    <row r="78" spans="5:21" ht="15" x14ac:dyDescent="0.2">
      <c r="E78" s="72">
        <v>-2</v>
      </c>
      <c r="F78" s="73">
        <f t="shared" si="6"/>
        <v>-0.46000880201153127</v>
      </c>
      <c r="G78" s="73">
        <f t="shared" si="7"/>
        <v>0.1442145758237286</v>
      </c>
      <c r="H78" s="73">
        <f t="shared" si="8"/>
        <v>0.80021389037074908</v>
      </c>
      <c r="I78" s="73">
        <f t="shared" si="5"/>
        <v>-0.19978610962925092</v>
      </c>
      <c r="J78" s="73">
        <f t="shared" si="9"/>
        <v>0.30138490108960175</v>
      </c>
      <c r="K78" s="73">
        <f t="shared" si="10"/>
        <v>2.2750131948179184E-2</v>
      </c>
      <c r="L78" s="16"/>
      <c r="M78" s="56"/>
      <c r="N78" s="57"/>
      <c r="O78" s="58" t="b">
        <f t="shared" si="11"/>
        <v>0</v>
      </c>
      <c r="T78" s="85">
        <f>$U$30-$B$38/100</f>
        <v>1.3431600000000001</v>
      </c>
      <c r="U78" s="28">
        <f>$X$30</f>
        <v>0.29761904761904756</v>
      </c>
    </row>
    <row r="79" spans="5:21" ht="15" x14ac:dyDescent="0.2">
      <c r="E79" s="72">
        <v>-1.8</v>
      </c>
      <c r="F79" s="73">
        <f t="shared" si="6"/>
        <v>-0.38513292181037817</v>
      </c>
      <c r="G79" s="73">
        <f t="shared" si="7"/>
        <v>0.21088275179883176</v>
      </c>
      <c r="H79" s="73">
        <f t="shared" si="8"/>
        <v>0.83685666736463238</v>
      </c>
      <c r="I79" s="73">
        <f t="shared" si="5"/>
        <v>-0.16314333263536762</v>
      </c>
      <c r="J79" s="73">
        <f t="shared" si="9"/>
        <v>0.42141345652801387</v>
      </c>
      <c r="K79" s="73">
        <f t="shared" si="10"/>
        <v>3.593031911292581E-2</v>
      </c>
      <c r="L79" s="16"/>
      <c r="M79" s="56"/>
      <c r="N79" s="57"/>
      <c r="O79" s="58" t="b">
        <f t="shared" si="11"/>
        <v>0</v>
      </c>
      <c r="T79" s="85">
        <f>$U$30+$B$38/100</f>
        <v>1.34484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-0.31025704160922507</v>
      </c>
      <c r="G80" s="73">
        <f t="shared" si="7"/>
        <v>0.29627921403118901</v>
      </c>
      <c r="H80" s="73">
        <f t="shared" si="8"/>
        <v>0.87517736212772768</v>
      </c>
      <c r="I80" s="73">
        <f t="shared" si="5"/>
        <v>-0.12482263787227232</v>
      </c>
      <c r="J80" s="73">
        <f t="shared" si="9"/>
        <v>0.56613959299161842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1.4271600000000002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-0.23538116140807197</v>
      </c>
      <c r="G81" s="73">
        <f t="shared" si="7"/>
        <v>0.39993510656169634</v>
      </c>
      <c r="H81" s="73">
        <f t="shared" si="8"/>
        <v>0.91525280857578106</v>
      </c>
      <c r="I81" s="73">
        <f t="shared" si="5"/>
        <v>-8.4747191424218937E-2</v>
      </c>
      <c r="J81" s="73">
        <f t="shared" si="9"/>
        <v>0.73074672572349775</v>
      </c>
      <c r="K81" s="73">
        <f t="shared" si="10"/>
        <v>8.0756659233771108E-2</v>
      </c>
      <c r="L81" s="14"/>
      <c r="M81" s="56"/>
      <c r="N81" s="57"/>
      <c r="O81" s="58" t="b">
        <f t="shared" si="11"/>
        <v>0</v>
      </c>
      <c r="T81" s="85">
        <f>$U$31+$B$38/100</f>
        <v>1.4288400000000001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-0.16050528120691887</v>
      </c>
      <c r="G82" s="73">
        <f t="shared" si="7"/>
        <v>0.51868787241374548</v>
      </c>
      <c r="H82" s="73">
        <f t="shared" si="8"/>
        <v>0.95716335894391991</v>
      </c>
      <c r="I82" s="73">
        <f t="shared" si="5"/>
        <v>-4.2836641056080094E-2</v>
      </c>
      <c r="J82" s="73">
        <f t="shared" si="9"/>
        <v>0.90623002815393927</v>
      </c>
      <c r="K82" s="73">
        <f t="shared" si="10"/>
        <v>0.1150696702217083</v>
      </c>
      <c r="L82" s="14"/>
      <c r="M82" s="56"/>
      <c r="N82" s="57"/>
      <c r="O82" s="58" t="b">
        <f t="shared" si="11"/>
        <v>0</v>
      </c>
      <c r="T82" s="85">
        <f>$U$32-$B$38/100</f>
        <v>1.5111600000000001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-8.5629401005765771E-2</v>
      </c>
      <c r="G83" s="73">
        <f t="shared" si="7"/>
        <v>0.64632488825264445</v>
      </c>
      <c r="H83" s="73">
        <f t="shared" si="8"/>
        <v>1.0009930448948203</v>
      </c>
      <c r="I83" s="73">
        <f t="shared" si="5"/>
        <v>9.9304489482032743E-4</v>
      </c>
      <c r="J83" s="73">
        <f t="shared" si="9"/>
        <v>1.0797873610097837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1.51284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-1.0753520804612671E-2</v>
      </c>
      <c r="G84" s="73">
        <f t="shared" si="7"/>
        <v>0.77379137843382961</v>
      </c>
      <c r="H84" s="73">
        <f t="shared" si="8"/>
        <v>1.046829746004214</v>
      </c>
      <c r="I84" s="73">
        <f t="shared" si="5"/>
        <v>4.6829746004213968E-2</v>
      </c>
      <c r="J84" s="73">
        <f t="shared" si="9"/>
        <v>1.2361359916002632</v>
      </c>
      <c r="K84" s="73">
        <f t="shared" si="10"/>
        <v>0.21185539858339675</v>
      </c>
      <c r="M84" s="56"/>
      <c r="N84" s="57"/>
      <c r="O84" s="58" t="b">
        <f t="shared" si="11"/>
        <v>0</v>
      </c>
      <c r="T84" s="85">
        <f>$U$33-$B$38/100</f>
        <v>1.5951600000000001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6.4122359396540429E-2</v>
      </c>
      <c r="G85" s="73">
        <f t="shared" si="7"/>
        <v>0.89007194839405157</v>
      </c>
      <c r="H85" s="73">
        <f t="shared" si="8"/>
        <v>1.0947653659615528</v>
      </c>
      <c r="I85" s="73">
        <f t="shared" si="5"/>
        <v>9.4765365961552828E-2</v>
      </c>
      <c r="J85" s="73">
        <f t="shared" si="9"/>
        <v>1.3596354648974849</v>
      </c>
      <c r="K85" s="73">
        <f t="shared" si="10"/>
        <v>0.27425311775007377</v>
      </c>
      <c r="M85" s="56"/>
      <c r="N85" s="57"/>
      <c r="O85" s="58" t="b">
        <f t="shared" si="11"/>
        <v>0</v>
      </c>
      <c r="T85" s="85">
        <f>$U$33+$B$38/100</f>
        <v>1.59684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0.13899823959769353</v>
      </c>
      <c r="G86" s="73">
        <f t="shared" si="7"/>
        <v>0.98368163236003436</v>
      </c>
      <c r="H86" s="73">
        <f t="shared" si="8"/>
        <v>1.1448960168391202</v>
      </c>
      <c r="I86" s="73">
        <f t="shared" si="5"/>
        <v>0.14489601683912023</v>
      </c>
      <c r="J86" s="73">
        <f t="shared" si="9"/>
        <v>1.4368351294549069</v>
      </c>
      <c r="K86" s="73">
        <f t="shared" si="10"/>
        <v>0.34457825838967576</v>
      </c>
      <c r="M86" s="56"/>
      <c r="N86" s="57"/>
      <c r="O86" s="58" t="b">
        <f t="shared" si="11"/>
        <v>0</v>
      </c>
      <c r="T86" s="85">
        <f>$U$34-$B$38/100</f>
        <v>1.6791600000000002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0.21387411979884663</v>
      </c>
      <c r="G87" s="73">
        <f t="shared" si="7"/>
        <v>1.044509107405281</v>
      </c>
      <c r="H87" s="73">
        <f t="shared" si="8"/>
        <v>1.1973222117990503</v>
      </c>
      <c r="I87" s="73">
        <f t="shared" si="5"/>
        <v>0.1973222117990503</v>
      </c>
      <c r="J87" s="73">
        <f t="shared" si="9"/>
        <v>1.458880138249405</v>
      </c>
      <c r="K87" s="73">
        <f t="shared" si="10"/>
        <v>0.42074029056089679</v>
      </c>
      <c r="M87" s="56"/>
      <c r="N87" s="57"/>
      <c r="O87" s="58" t="b">
        <f t="shared" si="11"/>
        <v>0</v>
      </c>
      <c r="T87" s="85">
        <f>$U$34+$B$38/100</f>
        <v>1.6808400000000001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0.28874999999999973</v>
      </c>
      <c r="G88" s="73">
        <f t="shared" si="7"/>
        <v>1.0656095910450183</v>
      </c>
      <c r="H88" s="73">
        <f t="shared" si="8"/>
        <v>1.2521490666246378</v>
      </c>
      <c r="I88" s="73">
        <f t="shared" si="5"/>
        <v>0.25214906662463776</v>
      </c>
      <c r="J88" s="73">
        <f t="shared" si="9"/>
        <v>1.4231822103815277</v>
      </c>
      <c r="K88" s="73">
        <f t="shared" si="10"/>
        <v>0.49999999999999983</v>
      </c>
      <c r="M88" s="56"/>
      <c r="N88" s="57"/>
      <c r="O88" s="58" t="b">
        <f t="shared" si="11"/>
        <v>0</v>
      </c>
      <c r="T88" s="85">
        <f>$U$35-$B$38/100</f>
        <v>1.7631600000000001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0.36362588020115283</v>
      </c>
      <c r="G89" s="73">
        <f t="shared" si="7"/>
        <v>1.044509107405281</v>
      </c>
      <c r="H89" s="73">
        <f t="shared" si="8"/>
        <v>1.3094865104800149</v>
      </c>
      <c r="I89" s="73">
        <f t="shared" si="5"/>
        <v>0.30948651048001485</v>
      </c>
      <c r="J89" s="73">
        <f t="shared" si="9"/>
        <v>1.3339195019566721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1.76484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0.43850176040230593</v>
      </c>
      <c r="G90" s="73">
        <f t="shared" si="7"/>
        <v>0.98368163236003436</v>
      </c>
      <c r="H90" s="73">
        <f t="shared" si="8"/>
        <v>1.3694495063207723</v>
      </c>
      <c r="I90" s="73">
        <f t="shared" si="5"/>
        <v>0.36944950632077234</v>
      </c>
      <c r="J90" s="73">
        <f t="shared" si="9"/>
        <v>1.20123218050372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1.8471600000000001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0.51337764060345903</v>
      </c>
      <c r="G91" s="73">
        <f t="shared" si="7"/>
        <v>0.89007194839405157</v>
      </c>
      <c r="H91" s="73">
        <f t="shared" si="8"/>
        <v>1.4321582813974536</v>
      </c>
      <c r="I91" s="73">
        <f t="shared" si="5"/>
        <v>0.4321582813974536</v>
      </c>
      <c r="J91" s="73">
        <f t="shared" si="9"/>
        <v>1.0393277311851232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1.84884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0.5882535208046159</v>
      </c>
      <c r="G92" s="73">
        <f t="shared" si="7"/>
        <v>0.7737913784338234</v>
      </c>
      <c r="H92" s="73">
        <f t="shared" si="8"/>
        <v>1.4977385683140914</v>
      </c>
      <c r="I92" s="73">
        <f t="shared" si="5"/>
        <v>0.49773856831409136</v>
      </c>
      <c r="J92" s="73">
        <f t="shared" si="9"/>
        <v>0.86398517971675159</v>
      </c>
      <c r="K92" s="73">
        <f t="shared" si="10"/>
        <v>0.78814460141660614</v>
      </c>
      <c r="M92" s="56"/>
      <c r="N92" s="57"/>
      <c r="O92" s="58" t="b">
        <f t="shared" si="11"/>
        <v>0</v>
      </c>
      <c r="T92" s="85">
        <f>$U$37-$B$38/100</f>
        <v>1.9311600000000002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0.66312940100576889</v>
      </c>
      <c r="G93" s="73">
        <f t="shared" si="7"/>
        <v>0.64632488825263823</v>
      </c>
      <c r="H93" s="73">
        <f t="shared" si="8"/>
        <v>1.5663218571250919</v>
      </c>
      <c r="I93" s="73">
        <f t="shared" si="5"/>
        <v>0.56632185712509187</v>
      </c>
      <c r="J93" s="73">
        <f t="shared" si="9"/>
        <v>0.69006228408251968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1.9328400000000001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0.73800528120692199</v>
      </c>
      <c r="G94" s="73">
        <f t="shared" si="7"/>
        <v>0.51868787241373937</v>
      </c>
      <c r="H94" s="73">
        <f t="shared" si="8"/>
        <v>1.6380456589759795</v>
      </c>
      <c r="I94" s="73">
        <f t="shared" si="5"/>
        <v>0.63804565897597953</v>
      </c>
      <c r="J94" s="73">
        <f t="shared" si="9"/>
        <v>0.52953968222468017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2.0151599999999998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0.81288116140807509</v>
      </c>
      <c r="G95" s="73">
        <f t="shared" si="7"/>
        <v>0.3999351065616909</v>
      </c>
      <c r="H95" s="73">
        <f t="shared" si="8"/>
        <v>1.7130537818165443</v>
      </c>
      <c r="I95" s="73">
        <f t="shared" si="5"/>
        <v>0.71305378181654433</v>
      </c>
      <c r="J95" s="73">
        <f t="shared" si="9"/>
        <v>0.39042439891569208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2.0168400000000002</v>
      </c>
      <c r="U95" s="28">
        <f>$X$39</f>
        <v>0.29761904761904756</v>
      </c>
    </row>
    <row r="96" spans="5:21" ht="15" x14ac:dyDescent="0.2">
      <c r="E96" s="72">
        <v>1.6000000000000101</v>
      </c>
      <c r="F96" s="73">
        <f t="shared" si="6"/>
        <v>0.8877570416092283</v>
      </c>
      <c r="G96" s="73">
        <f t="shared" si="7"/>
        <v>0.29627921403118429</v>
      </c>
      <c r="H96" s="73">
        <f t="shared" si="8"/>
        <v>1.7914966187392443</v>
      </c>
      <c r="I96" s="73">
        <f t="shared" si="5"/>
        <v>0.79149661873924426</v>
      </c>
      <c r="J96" s="73">
        <f t="shared" si="9"/>
        <v>0.27656907102573702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2.0991599999999999</v>
      </c>
      <c r="U96" s="28">
        <f>$X$39</f>
        <v>0.29761904761904756</v>
      </c>
    </row>
    <row r="97" spans="5:21" ht="15" x14ac:dyDescent="0.2">
      <c r="E97" s="72">
        <v>1.80000000000001</v>
      </c>
      <c r="F97" s="73">
        <f t="shared" si="6"/>
        <v>0.9626329218103814</v>
      </c>
      <c r="G97" s="73">
        <f t="shared" si="7"/>
        <v>0.21088275179882798</v>
      </c>
      <c r="H97" s="73">
        <f t="shared" si="8"/>
        <v>1.8735314495209789</v>
      </c>
      <c r="I97" s="73">
        <f t="shared" si="5"/>
        <v>0.87353144952097894</v>
      </c>
      <c r="J97" s="73">
        <f t="shared" si="9"/>
        <v>0.18823418251281857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2.1008400000000003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1.0375088020115344</v>
      </c>
      <c r="G98" s="73">
        <f t="shared" si="7"/>
        <v>0.14421457582372577</v>
      </c>
      <c r="H98" s="73">
        <f t="shared" si="8"/>
        <v>1.9593227559728288</v>
      </c>
      <c r="I98" s="73">
        <f t="shared" si="5"/>
        <v>0.95932275597282879</v>
      </c>
      <c r="J98" s="73">
        <f t="shared" si="9"/>
        <v>0.12308966629653809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1.1123846822126877</v>
      </c>
      <c r="G99" s="73">
        <f t="shared" si="7"/>
        <v>9.4755728415956059E-2</v>
      </c>
      <c r="H99" s="73">
        <f t="shared" si="8"/>
        <v>2.0490425517300475</v>
      </c>
      <c r="I99" s="73">
        <f t="shared" si="5"/>
        <v>1.0490425517300475</v>
      </c>
      <c r="J99" s="73">
        <f t="shared" si="9"/>
        <v>7.7334435017941835E-2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1.1872605624138406</v>
      </c>
      <c r="G100" s="73">
        <f t="shared" si="7"/>
        <v>5.9817741667088926E-2</v>
      </c>
      <c r="H100" s="73">
        <f t="shared" si="8"/>
        <v>2.1428707271435421</v>
      </c>
      <c r="I100" s="73">
        <f t="shared" si="5"/>
        <v>1.1428707271435421</v>
      </c>
      <c r="J100" s="73">
        <f t="shared" si="9"/>
        <v>4.6682323141803823E-2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1.2621364426149937</v>
      </c>
      <c r="G101" s="73">
        <f t="shared" si="7"/>
        <v>3.6281294315859247E-2</v>
      </c>
      <c r="H101" s="73">
        <f t="shared" si="8"/>
        <v>2.2409954099643583</v>
      </c>
      <c r="I101" s="73">
        <f t="shared" si="5"/>
        <v>1.2409954099643583</v>
      </c>
      <c r="J101" s="73">
        <f t="shared" si="9"/>
        <v>2.7074486268559312E-2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1.3370123228161468</v>
      </c>
      <c r="G102" s="73">
        <f t="shared" si="7"/>
        <v>2.1142860856433313E-2</v>
      </c>
      <c r="H102" s="73">
        <f t="shared" si="8"/>
        <v>2.3436133425443519</v>
      </c>
      <c r="I102" s="73">
        <f t="shared" si="5"/>
        <v>1.3436133425443519</v>
      </c>
      <c r="J102" s="73">
        <f t="shared" si="9"/>
        <v>1.5086767921749426E-2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1.4118882030173001</v>
      </c>
      <c r="G103" s="73">
        <f t="shared" si="7"/>
        <v>1.1837853258036551E-2</v>
      </c>
      <c r="H103" s="73">
        <f t="shared" si="8"/>
        <v>2.4509302763093412</v>
      </c>
      <c r="I103" s="73">
        <f t="shared" si="5"/>
        <v>1.4509302763093412</v>
      </c>
      <c r="J103" s="73">
        <f t="shared" si="9"/>
        <v>8.0771921651650799E-3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1.486764083218453</v>
      </c>
      <c r="G104" s="73">
        <f t="shared" si="7"/>
        <v>6.3681073132227572E-3</v>
      </c>
      <c r="H104" s="73">
        <f t="shared" si="8"/>
        <v>2.5631613842956695</v>
      </c>
      <c r="I104" s="73">
        <f t="shared" si="5"/>
        <v>1.5631613842956695</v>
      </c>
      <c r="J104" s="73">
        <f t="shared" si="9"/>
        <v>4.1548260099980062E-3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1.5616399634196063</v>
      </c>
      <c r="G105" s="73">
        <f t="shared" si="7"/>
        <v>3.2913647630255188E-3</v>
      </c>
      <c r="H105" s="73">
        <f t="shared" si="8"/>
        <v>2.6805316925773277</v>
      </c>
      <c r="I105" s="73">
        <f t="shared" si="5"/>
        <v>1.6805316925773277</v>
      </c>
      <c r="J105" s="73">
        <f t="shared" si="9"/>
        <v>2.0533996744340316E-3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1.6365158436207592</v>
      </c>
      <c r="G106" s="73">
        <f t="shared" si="7"/>
        <v>1.6344433707353677E-3</v>
      </c>
      <c r="H106" s="73">
        <f t="shared" si="8"/>
        <v>2.8032765314486441</v>
      </c>
      <c r="I106" s="73">
        <f t="shared" si="5"/>
        <v>1.8032765314486441</v>
      </c>
      <c r="J106" s="73">
        <f t="shared" si="9"/>
        <v>9.750398296315151E-4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1.7113917238219125</v>
      </c>
      <c r="G107" s="73">
        <f t="shared" si="7"/>
        <v>7.7981567630894591E-4</v>
      </c>
      <c r="H107" s="73">
        <f t="shared" si="8"/>
        <v>2.9316420072672007</v>
      </c>
      <c r="I107" s="73">
        <f t="shared" si="5"/>
        <v>1.9316420072672007</v>
      </c>
      <c r="J107" s="73">
        <f t="shared" si="9"/>
        <v>4.4483550663575037E-4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1.7862676040230654</v>
      </c>
      <c r="G108" s="73">
        <f t="shared" si="7"/>
        <v>3.5747219373006883E-4</v>
      </c>
      <c r="H108" s="73">
        <f t="shared" si="8"/>
        <v>3.0658854959029971</v>
      </c>
      <c r="I108" s="73">
        <f t="shared" si="5"/>
        <v>2.0658854959029971</v>
      </c>
      <c r="J108" s="73">
        <f t="shared" si="9"/>
        <v>1.9498659460250189E-4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1.8611434842242187</v>
      </c>
      <c r="G109" s="73">
        <f t="shared" si="7"/>
        <v>1.5744206972442297E-4</v>
      </c>
      <c r="H109" s="73">
        <f t="shared" si="8"/>
        <v>3.206276158783274</v>
      </c>
      <c r="I109" s="73">
        <f t="shared" si="5"/>
        <v>2.206276158783274</v>
      </c>
      <c r="J109" s="73">
        <f t="shared" si="9"/>
        <v>8.2117985060582786E-5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1.9360193644253716</v>
      </c>
      <c r="G110" s="73">
        <f t="shared" si="7"/>
        <v>6.6623514069003066E-5</v>
      </c>
      <c r="H110" s="73">
        <f t="shared" si="8"/>
        <v>3.3530954825676522</v>
      </c>
      <c r="I110" s="73">
        <f t="shared" si="5"/>
        <v>2.3530954825676522</v>
      </c>
      <c r="J110" s="73">
        <f t="shared" si="9"/>
        <v>3.3227681215437025E-5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2.0108952446265249</v>
      </c>
      <c r="G111" s="73">
        <f t="shared" si="7"/>
        <v>2.7087099445757391E-5</v>
      </c>
      <c r="H111" s="73">
        <f t="shared" si="8"/>
        <v>3.5066378435356658</v>
      </c>
      <c r="I111" s="73">
        <f t="shared" si="5"/>
        <v>2.5066378435356658</v>
      </c>
      <c r="J111" s="73">
        <f t="shared" si="9"/>
        <v>1.2917843140513733E-5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2.0857711248276778</v>
      </c>
      <c r="G112" s="73">
        <f t="shared" si="7"/>
        <v>1.0580975022637229E-5</v>
      </c>
      <c r="H112" s="73">
        <f t="shared" si="8"/>
        <v>3.6672110978182877</v>
      </c>
      <c r="I112" s="73">
        <f t="shared" si="5"/>
        <v>2.6672110978182877</v>
      </c>
      <c r="J112" s="73">
        <f t="shared" si="9"/>
        <v>4.8251208908822889E-6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2.1606470050288271</v>
      </c>
      <c r="G113" s="73">
        <f t="shared" si="7"/>
        <v>3.9711573626653871E-6</v>
      </c>
      <c r="H113" s="73">
        <f t="shared" si="8"/>
        <v>3.8351371986568821</v>
      </c>
      <c r="I113" s="73">
        <f t="shared" si="5"/>
        <v>2.8351371986568821</v>
      </c>
      <c r="J113" s="73">
        <f t="shared" si="9"/>
        <v>1.7316280482493538E-6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-0.61013158941332413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4.6262031011830889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-1.0976406105309069E-4</v>
      </c>
      <c r="H120" s="69" t="s">
        <v>50</v>
      </c>
      <c r="I120" s="79">
        <f>IF($B$9&gt;3,INDEX(XX!$C$4:$C$150,$B$9))</f>
        <v>0.30080000000000001</v>
      </c>
      <c r="J120" s="79">
        <f>IF($B$9&gt;3,INDEX(XX!$D$4:$D$150,$B$9))</f>
        <v>0.38869999999999999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0.1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4.6261921247769839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42660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-5.6331743341759832E-2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tabSelected="1" zoomScale="75" workbookViewId="0">
      <selection activeCell="M7" sqref="M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145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35815</v>
      </c>
      <c r="N3" s="57">
        <v>50</v>
      </c>
      <c r="O3" s="58">
        <f t="shared" ref="O3:O66" si="0">IF($N3&gt;0,LN($N3+$B$26))</f>
        <v>3.912023005428146</v>
      </c>
      <c r="T3" s="69" t="s">
        <v>109</v>
      </c>
      <c r="U3" s="82">
        <f>$B$21</f>
        <v>44.824286077390624</v>
      </c>
      <c r="V3" s="82">
        <f t="shared" ref="V3:V10" si="1">U3</f>
        <v>44.824286077390624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36187</v>
      </c>
      <c r="N4" s="57">
        <v>25</v>
      </c>
      <c r="O4" s="58">
        <f t="shared" si="0"/>
        <v>3.2188758248682006</v>
      </c>
      <c r="T4" s="69" t="s">
        <v>111</v>
      </c>
      <c r="U4" s="82">
        <f>$B$31</f>
        <v>53.384988363764776</v>
      </c>
      <c r="V4" s="82">
        <f t="shared" si="1"/>
        <v>53.384988363764776</v>
      </c>
    </row>
    <row r="5" spans="1:24" ht="15" customHeight="1" x14ac:dyDescent="0.2">
      <c r="A5" s="97" t="s">
        <v>70</v>
      </c>
      <c r="B5" s="20" t="s">
        <v>133</v>
      </c>
      <c r="C5" s="18"/>
      <c r="D5" s="4"/>
      <c r="M5" s="56">
        <v>36347</v>
      </c>
      <c r="N5" s="57">
        <v>25</v>
      </c>
      <c r="O5" s="58">
        <f t="shared" si="0"/>
        <v>3.2188758248682006</v>
      </c>
      <c r="T5" s="69" t="s">
        <v>110</v>
      </c>
      <c r="U5" s="82">
        <f>$B$22</f>
        <v>49.819028855797299</v>
      </c>
      <c r="V5" s="82">
        <f t="shared" si="1"/>
        <v>49.819028855797299</v>
      </c>
    </row>
    <row r="6" spans="1:24" ht="15" customHeight="1" x14ac:dyDescent="0.25">
      <c r="A6" s="107" t="s">
        <v>18</v>
      </c>
      <c r="B6" s="116">
        <v>60</v>
      </c>
      <c r="C6" s="18"/>
      <c r="M6" s="56">
        <v>36550</v>
      </c>
      <c r="N6" s="57">
        <v>40</v>
      </c>
      <c r="O6" s="58">
        <f t="shared" si="0"/>
        <v>3.6888794541139363</v>
      </c>
      <c r="T6" s="69" t="s">
        <v>29</v>
      </c>
      <c r="U6" s="82">
        <f>$B$32</f>
        <v>75.517038661860454</v>
      </c>
      <c r="V6" s="82">
        <f t="shared" si="1"/>
        <v>75.517038661860454</v>
      </c>
    </row>
    <row r="7" spans="1:24" ht="15" customHeight="1" x14ac:dyDescent="0.2">
      <c r="D7" s="4"/>
      <c r="F7" s="5"/>
      <c r="M7" s="56">
        <v>36712</v>
      </c>
      <c r="N7" s="57">
        <v>30</v>
      </c>
      <c r="O7" s="58">
        <f t="shared" si="0"/>
        <v>3.4011973816621555</v>
      </c>
      <c r="T7" s="69" t="s">
        <v>31</v>
      </c>
      <c r="U7" s="82">
        <f>$C$21</f>
        <v>-8.6142860773906307</v>
      </c>
      <c r="V7" s="82">
        <f t="shared" si="1"/>
        <v>-8.6142860773906307</v>
      </c>
    </row>
    <row r="8" spans="1:24" ht="15" customHeight="1" x14ac:dyDescent="0.25">
      <c r="A8" s="140" t="s">
        <v>12</v>
      </c>
      <c r="B8" s="140"/>
      <c r="C8" s="140"/>
      <c r="D8" s="4"/>
      <c r="M8" s="56">
        <v>36914</v>
      </c>
      <c r="N8" s="57">
        <v>30</v>
      </c>
      <c r="O8" s="58">
        <f t="shared" si="0"/>
        <v>3.4011973816621555</v>
      </c>
      <c r="T8" s="69" t="s">
        <v>32</v>
      </c>
      <c r="U8" s="82">
        <f>$C$31</f>
        <v>0.91989032723828346</v>
      </c>
      <c r="V8" s="82">
        <f t="shared" si="1"/>
        <v>0.91989032723828346</v>
      </c>
    </row>
    <row r="9" spans="1:24" ht="15" customHeight="1" x14ac:dyDescent="0.2">
      <c r="A9" s="101" t="s">
        <v>11</v>
      </c>
      <c r="B9" s="59">
        <f>COUNT($M$3:$M252)</f>
        <v>40</v>
      </c>
      <c r="C9" s="60"/>
      <c r="D9" s="4"/>
      <c r="M9" s="56">
        <v>37089</v>
      </c>
      <c r="N9" s="57">
        <v>30</v>
      </c>
      <c r="O9" s="58">
        <f t="shared" si="0"/>
        <v>3.4011973816621555</v>
      </c>
      <c r="T9" s="69" t="s">
        <v>112</v>
      </c>
      <c r="U9" s="82">
        <f>$C$22</f>
        <v>-13.609028855797302</v>
      </c>
      <c r="V9" s="82">
        <f t="shared" si="1"/>
        <v>-13.609028855797302</v>
      </c>
    </row>
    <row r="10" spans="1:24" ht="15" customHeight="1" x14ac:dyDescent="0.2">
      <c r="A10" s="102" t="s">
        <v>7</v>
      </c>
      <c r="B10" s="61">
        <f>MIN($N$3:$N$252)</f>
        <v>2</v>
      </c>
      <c r="C10" s="60"/>
      <c r="D10" s="4"/>
      <c r="M10" s="56">
        <v>37328</v>
      </c>
      <c r="N10" s="57">
        <v>20</v>
      </c>
      <c r="O10" s="58">
        <f t="shared" si="0"/>
        <v>2.9957322735539909</v>
      </c>
      <c r="T10" s="69" t="s">
        <v>113</v>
      </c>
      <c r="U10" s="82">
        <f>$C$32</f>
        <v>0.60912016175587702</v>
      </c>
      <c r="V10" s="82">
        <f t="shared" si="1"/>
        <v>0.60912016175587702</v>
      </c>
    </row>
    <row r="11" spans="1:24" ht="15" customHeight="1" x14ac:dyDescent="0.2">
      <c r="A11" s="102" t="s">
        <v>8</v>
      </c>
      <c r="B11" s="61">
        <f>MAX($N$3:$N$252)</f>
        <v>50</v>
      </c>
      <c r="C11" s="60"/>
      <c r="D11" s="4"/>
      <c r="M11" s="56">
        <v>37467</v>
      </c>
      <c r="N11" s="57">
        <v>25</v>
      </c>
      <c r="O11" s="58">
        <f t="shared" si="0"/>
        <v>3.2188758248682006</v>
      </c>
      <c r="T11" s="69" t="s">
        <v>68</v>
      </c>
      <c r="U11" s="82">
        <f>$B$12</f>
        <v>11</v>
      </c>
      <c r="V11" s="82">
        <f>U11</f>
        <v>11</v>
      </c>
    </row>
    <row r="12" spans="1:24" ht="15" customHeight="1" x14ac:dyDescent="0.2">
      <c r="A12" s="102" t="s">
        <v>68</v>
      </c>
      <c r="B12" s="62">
        <f>MEDIAN($N$3:$N$252)</f>
        <v>11</v>
      </c>
      <c r="C12" s="50"/>
      <c r="D12" s="4"/>
      <c r="M12" s="56">
        <v>37649</v>
      </c>
      <c r="N12" s="57">
        <v>40</v>
      </c>
      <c r="O12" s="58">
        <f t="shared" si="0"/>
        <v>3.6888794541139363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37825</v>
      </c>
      <c r="N13" s="57">
        <v>20</v>
      </c>
      <c r="O13" s="58">
        <f t="shared" si="0"/>
        <v>2.9957322735539909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38012</v>
      </c>
      <c r="N14" s="57">
        <v>25</v>
      </c>
      <c r="O14" s="58">
        <f t="shared" si="0"/>
        <v>3.2188758248682006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38187</v>
      </c>
      <c r="N15" s="57">
        <v>25</v>
      </c>
      <c r="O15" s="58">
        <f t="shared" si="0"/>
        <v>3.2188758248682006</v>
      </c>
      <c r="T15" s="69">
        <v>1</v>
      </c>
      <c r="U15" s="77">
        <f t="shared" ref="U15:U39" si="3">$B$36+T15*$B$38</f>
        <v>2.1</v>
      </c>
      <c r="V15" s="84">
        <f>FREQUENCY($N$3:$N$252,$U$15:$U$39)</f>
        <v>1</v>
      </c>
      <c r="W15" s="79">
        <f t="shared" ref="W15:W39" si="4">(U15+U14)/2</f>
        <v>1.05</v>
      </c>
      <c r="X15" s="80">
        <f t="shared" si="2"/>
        <v>1.1904761904761904E-2</v>
      </c>
    </row>
    <row r="16" spans="1:24" ht="15" customHeight="1" x14ac:dyDescent="0.2">
      <c r="A16" s="101" t="s">
        <v>73</v>
      </c>
      <c r="B16" s="63">
        <f>AVERAGE($N$3:$N$252)</f>
        <v>18.105</v>
      </c>
      <c r="C16" s="60"/>
      <c r="M16" s="56">
        <v>38378</v>
      </c>
      <c r="N16" s="57">
        <v>10</v>
      </c>
      <c r="O16" s="58">
        <f t="shared" si="0"/>
        <v>2.3025850929940459</v>
      </c>
      <c r="T16" s="69">
        <v>2</v>
      </c>
      <c r="U16" s="77">
        <f t="shared" si="3"/>
        <v>4.2</v>
      </c>
      <c r="V16" s="84">
        <f t="array" ref="V16:V40">FREQUENCY($N$3:$N$252,$U$15:$U$39)</f>
        <v>1</v>
      </c>
      <c r="W16" s="79">
        <f t="shared" si="4"/>
        <v>3.1500000000000004</v>
      </c>
      <c r="X16" s="80">
        <f t="shared" si="2"/>
        <v>1.1904761904761904E-2</v>
      </c>
    </row>
    <row r="17" spans="1:24" ht="15" customHeight="1" x14ac:dyDescent="0.2">
      <c r="A17" s="102" t="s">
        <v>75</v>
      </c>
      <c r="B17" s="62">
        <f>STDEV($N$3:$N$252)</f>
        <v>13.632539316104252</v>
      </c>
      <c r="C17" s="60"/>
      <c r="D17" s="4"/>
      <c r="M17" s="56">
        <v>38545</v>
      </c>
      <c r="N17" s="57">
        <v>10</v>
      </c>
      <c r="O17" s="58">
        <f t="shared" si="0"/>
        <v>2.3025850929940459</v>
      </c>
      <c r="T17" s="69">
        <v>3</v>
      </c>
      <c r="U17" s="77">
        <f t="shared" si="3"/>
        <v>6.3000000000000007</v>
      </c>
      <c r="V17" s="84">
        <v>3</v>
      </c>
      <c r="W17" s="79">
        <f t="shared" si="4"/>
        <v>5.25</v>
      </c>
      <c r="X17" s="80">
        <f t="shared" si="2"/>
        <v>3.5714285714285712E-2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0.54621513043417691</v>
      </c>
      <c r="C18" s="114" t="s">
        <v>45</v>
      </c>
      <c r="D18" s="4"/>
      <c r="J18" s="6"/>
      <c r="M18" s="56">
        <v>38755</v>
      </c>
      <c r="N18" s="57">
        <v>10</v>
      </c>
      <c r="O18" s="58">
        <f t="shared" si="0"/>
        <v>2.3025850929940459</v>
      </c>
      <c r="T18" s="69">
        <v>4</v>
      </c>
      <c r="U18" s="77">
        <f t="shared" si="3"/>
        <v>8.4</v>
      </c>
      <c r="V18" s="84">
        <v>4</v>
      </c>
      <c r="W18" s="79">
        <f t="shared" si="4"/>
        <v>7.3500000000000005</v>
      </c>
      <c r="X18" s="80">
        <f t="shared" si="2"/>
        <v>4.7619047619047616E-2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schlecht</v>
      </c>
      <c r="C19" s="64"/>
      <c r="D19" s="4"/>
      <c r="M19" s="56">
        <v>38911</v>
      </c>
      <c r="N19" s="57">
        <v>10</v>
      </c>
      <c r="O19" s="58">
        <f t="shared" si="0"/>
        <v>2.3025850929940459</v>
      </c>
      <c r="T19" s="69">
        <v>5</v>
      </c>
      <c r="U19" s="77">
        <f t="shared" si="3"/>
        <v>10.5</v>
      </c>
      <c r="V19" s="84">
        <v>5</v>
      </c>
      <c r="W19" s="79">
        <f t="shared" si="4"/>
        <v>9.4499999999999993</v>
      </c>
      <c r="X19" s="80">
        <f t="shared" si="2"/>
        <v>5.9523809523809521E-2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39105</v>
      </c>
      <c r="N20" s="57">
        <v>39.200000000000003</v>
      </c>
      <c r="O20" s="58">
        <f t="shared" si="0"/>
        <v>3.6686767467964168</v>
      </c>
      <c r="T20" s="69">
        <v>6</v>
      </c>
      <c r="U20" s="77">
        <f t="shared" si="3"/>
        <v>12.600000000000001</v>
      </c>
      <c r="V20" s="84">
        <v>6</v>
      </c>
      <c r="W20" s="79">
        <f t="shared" si="4"/>
        <v>11.55</v>
      </c>
      <c r="X20" s="80">
        <f t="shared" si="2"/>
        <v>7.1428571428571425E-2</v>
      </c>
    </row>
    <row r="21" spans="1:24" ht="15" customHeight="1" x14ac:dyDescent="0.2">
      <c r="A21" s="103" t="s">
        <v>76</v>
      </c>
      <c r="B21" s="62">
        <f>NORMINV(0.975,$B$16,$B$17)</f>
        <v>44.824286077390624</v>
      </c>
      <c r="C21" s="62">
        <f>NORMINV(0.025,$B$16,$B$17)</f>
        <v>-8.6142860773906307</v>
      </c>
      <c r="D21" s="4"/>
      <c r="M21" s="56">
        <v>39274</v>
      </c>
      <c r="N21" s="57">
        <v>27</v>
      </c>
      <c r="O21" s="58">
        <f t="shared" si="0"/>
        <v>3.2958368660043291</v>
      </c>
      <c r="T21" s="69">
        <v>7</v>
      </c>
      <c r="U21" s="77">
        <f t="shared" si="3"/>
        <v>14.700000000000001</v>
      </c>
      <c r="V21" s="84">
        <v>2</v>
      </c>
      <c r="W21" s="79">
        <f t="shared" si="4"/>
        <v>13.650000000000002</v>
      </c>
      <c r="X21" s="80">
        <f t="shared" si="2"/>
        <v>2.3809523809523808E-2</v>
      </c>
    </row>
    <row r="22" spans="1:24" ht="15" customHeight="1" x14ac:dyDescent="0.2">
      <c r="A22" s="104" t="s">
        <v>77</v>
      </c>
      <c r="B22" s="62">
        <f>NORMINV(0.99,$B$16,$B$17)</f>
        <v>49.819028855797299</v>
      </c>
      <c r="C22" s="62">
        <f>NORMINV(0.01,B16,B17)</f>
        <v>-13.609028855797302</v>
      </c>
      <c r="M22" s="56">
        <v>39457</v>
      </c>
      <c r="N22" s="57">
        <v>3</v>
      </c>
      <c r="O22" s="58">
        <f t="shared" si="0"/>
        <v>1.0986122886681098</v>
      </c>
      <c r="T22" s="69">
        <v>8</v>
      </c>
      <c r="U22" s="77">
        <f t="shared" si="3"/>
        <v>16.8</v>
      </c>
      <c r="V22" s="84">
        <v>1</v>
      </c>
      <c r="W22" s="79">
        <f t="shared" si="4"/>
        <v>15.75</v>
      </c>
      <c r="X22" s="80">
        <f t="shared" si="2"/>
        <v>1.1904761904761904E-2</v>
      </c>
    </row>
    <row r="23" spans="1:24" ht="15" customHeight="1" x14ac:dyDescent="0.25">
      <c r="A23" s="112" t="s">
        <v>81</v>
      </c>
      <c r="B23" s="96">
        <f>MAX($B$22+0.5*$B$6,$B$6)</f>
        <v>79.819028855797299</v>
      </c>
      <c r="E23" s="144" t="s">
        <v>80</v>
      </c>
      <c r="F23" s="144"/>
      <c r="G23" s="144"/>
      <c r="M23" s="56">
        <v>39664</v>
      </c>
      <c r="N23" s="57">
        <v>8</v>
      </c>
      <c r="O23" s="58">
        <f t="shared" si="0"/>
        <v>2.0794415416798357</v>
      </c>
      <c r="T23" s="69">
        <v>9</v>
      </c>
      <c r="U23" s="77">
        <f t="shared" si="3"/>
        <v>18.900000000000002</v>
      </c>
      <c r="V23" s="84">
        <v>1</v>
      </c>
      <c r="W23" s="79">
        <f t="shared" si="4"/>
        <v>17.850000000000001</v>
      </c>
      <c r="X23" s="80">
        <f t="shared" si="2"/>
        <v>1.1904761904761904E-2</v>
      </c>
    </row>
    <row r="24" spans="1:24" ht="15" customHeight="1" x14ac:dyDescent="0.2">
      <c r="M24" s="56">
        <v>39881</v>
      </c>
      <c r="N24" s="57">
        <v>46</v>
      </c>
      <c r="O24" s="58">
        <f t="shared" si="0"/>
        <v>3.8286413964890951</v>
      </c>
      <c r="T24" s="69">
        <v>10</v>
      </c>
      <c r="U24" s="77">
        <f t="shared" si="3"/>
        <v>21</v>
      </c>
      <c r="V24" s="84">
        <v>0</v>
      </c>
      <c r="W24" s="79">
        <f t="shared" si="4"/>
        <v>19.950000000000003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40001</v>
      </c>
      <c r="N25" s="57">
        <v>44</v>
      </c>
      <c r="O25" s="58">
        <f t="shared" si="0"/>
        <v>3.784189633918261</v>
      </c>
      <c r="Q25" s="75" t="s">
        <v>68</v>
      </c>
      <c r="R25" s="75">
        <f>MEDIAN($O$3:$O$252)</f>
        <v>2.3978952727983707</v>
      </c>
      <c r="T25" s="69">
        <v>11</v>
      </c>
      <c r="U25" s="77">
        <f t="shared" si="3"/>
        <v>23.1</v>
      </c>
      <c r="V25" s="84">
        <v>2</v>
      </c>
      <c r="W25" s="79">
        <f t="shared" si="4"/>
        <v>22.05</v>
      </c>
      <c r="X25" s="80">
        <f t="shared" si="2"/>
        <v>2.3809523809523808E-2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40206</v>
      </c>
      <c r="N26" s="57">
        <v>2</v>
      </c>
      <c r="O26" s="58">
        <f t="shared" si="0"/>
        <v>0.69314718055994529</v>
      </c>
      <c r="Q26" s="75" t="s">
        <v>73</v>
      </c>
      <c r="R26" s="75">
        <f>AVERAGE($O$3:$O$252)</f>
        <v>2.5823497018712418</v>
      </c>
      <c r="T26" s="69">
        <v>12</v>
      </c>
      <c r="U26" s="77">
        <f t="shared" si="3"/>
        <v>25.200000000000003</v>
      </c>
      <c r="V26" s="84">
        <v>0</v>
      </c>
      <c r="W26" s="79">
        <f t="shared" si="4"/>
        <v>24.150000000000002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13.228183959790567</v>
      </c>
      <c r="C27" s="62"/>
      <c r="E27" s="7" t="e">
        <f>STDEV(C50:C199)</f>
        <v>#DIV/0!</v>
      </c>
      <c r="F27" s="7" t="e">
        <f>NORMINV(0.025,$E26,$E27)</f>
        <v>#DIV/0!</v>
      </c>
      <c r="M27" s="56">
        <v>40365</v>
      </c>
      <c r="N27" s="57">
        <v>5</v>
      </c>
      <c r="O27" s="58">
        <f t="shared" si="0"/>
        <v>1.6094379124341003</v>
      </c>
      <c r="Q27" s="75" t="s">
        <v>104</v>
      </c>
      <c r="R27" s="75">
        <f>STDEV($O$3:$O$252)</f>
        <v>0.84820914452828011</v>
      </c>
      <c r="T27" s="69">
        <v>13</v>
      </c>
      <c r="U27" s="77">
        <f t="shared" si="3"/>
        <v>27.3</v>
      </c>
      <c r="V27" s="84">
        <v>5</v>
      </c>
      <c r="W27" s="79">
        <f t="shared" si="4"/>
        <v>26.25</v>
      </c>
      <c r="X27" s="80">
        <f t="shared" si="2"/>
        <v>5.9523809523809521E-2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0.22790955876709906</v>
      </c>
      <c r="C28" s="115" t="s">
        <v>45</v>
      </c>
      <c r="F28" s="7" t="e">
        <f>NORMINV(0.01,$E$26,$E$27)</f>
        <v>#DIV/0!</v>
      </c>
      <c r="M28" s="56">
        <v>40577</v>
      </c>
      <c r="N28" s="57">
        <v>8</v>
      </c>
      <c r="O28" s="58">
        <f t="shared" si="0"/>
        <v>2.0794415416798357</v>
      </c>
      <c r="Q28" s="75" t="s">
        <v>108</v>
      </c>
      <c r="R28" s="75">
        <f>NORMINV(0.025,$R$26,$R$27)</f>
        <v>0.91989032723828346</v>
      </c>
      <c r="T28" s="69">
        <v>14</v>
      </c>
      <c r="U28" s="77">
        <f t="shared" si="3"/>
        <v>29.400000000000002</v>
      </c>
      <c r="V28" s="84">
        <v>1</v>
      </c>
      <c r="W28" s="79">
        <f t="shared" si="4"/>
        <v>28.35</v>
      </c>
      <c r="X28" s="80">
        <f t="shared" si="2"/>
        <v>1.1904761904761904E-2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40764</v>
      </c>
      <c r="N29" s="57">
        <v>5</v>
      </c>
      <c r="O29" s="58">
        <f t="shared" si="0"/>
        <v>1.6094379124341003</v>
      </c>
      <c r="Q29" s="75" t="s">
        <v>107</v>
      </c>
      <c r="R29" s="75">
        <f>NORMINV(0.01,$R$26,$R$27)</f>
        <v>0.60912016175587702</v>
      </c>
      <c r="T29" s="69">
        <v>15</v>
      </c>
      <c r="U29" s="77">
        <f t="shared" si="3"/>
        <v>31.5</v>
      </c>
      <c r="V29" s="84">
        <v>0</v>
      </c>
      <c r="W29" s="79">
        <f t="shared" si="4"/>
        <v>30.450000000000003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40940</v>
      </c>
      <c r="N30" s="57">
        <v>4</v>
      </c>
      <c r="O30" s="58">
        <f t="shared" si="0"/>
        <v>1.3862943611198906</v>
      </c>
      <c r="Q30" s="75" t="s">
        <v>105</v>
      </c>
      <c r="R30" s="75">
        <f>NORMINV(0.95,$R$26,$R$27)</f>
        <v>3.9775295896619882</v>
      </c>
      <c r="T30" s="69">
        <v>16</v>
      </c>
      <c r="U30" s="77">
        <f t="shared" si="3"/>
        <v>33.6</v>
      </c>
      <c r="V30" s="84">
        <v>3</v>
      </c>
      <c r="W30" s="79">
        <f t="shared" si="4"/>
        <v>32.549999999999997</v>
      </c>
      <c r="X30" s="80">
        <f t="shared" si="2"/>
        <v>3.5714285714285712E-2</v>
      </c>
    </row>
    <row r="31" spans="1:24" ht="15" customHeight="1" x14ac:dyDescent="0.2">
      <c r="A31" s="65" t="s">
        <v>98</v>
      </c>
      <c r="B31" s="62">
        <f>EXP($R30)-$B$26</f>
        <v>53.384988363764776</v>
      </c>
      <c r="C31" s="62">
        <f>NORMINV(0.025,$R$26,$R$27)</f>
        <v>0.91989032723828346</v>
      </c>
      <c r="E31" s="7" t="e">
        <f>NORMINV(0.98,$E$26,$E$27)</f>
        <v>#DIV/0!</v>
      </c>
      <c r="M31" s="56">
        <v>41094</v>
      </c>
      <c r="N31" s="57">
        <v>8</v>
      </c>
      <c r="O31" s="58">
        <f t="shared" si="0"/>
        <v>2.0794415416798357</v>
      </c>
      <c r="Q31" s="75" t="s">
        <v>106</v>
      </c>
      <c r="R31" s="75">
        <f>NORMINV(0.98,$R$26,$R$27)</f>
        <v>4.3243583084341468</v>
      </c>
      <c r="T31" s="69">
        <v>17</v>
      </c>
      <c r="U31" s="77">
        <f t="shared" si="3"/>
        <v>35.700000000000003</v>
      </c>
      <c r="V31" s="84">
        <v>0</v>
      </c>
      <c r="W31" s="79">
        <f t="shared" si="4"/>
        <v>34.650000000000006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75.517038661860454</v>
      </c>
      <c r="C32" s="62">
        <f>NORMINV(0.01,$R$26,$R$27)</f>
        <v>0.60912016175587702</v>
      </c>
      <c r="M32" s="56">
        <v>41303</v>
      </c>
      <c r="N32" s="57">
        <v>9</v>
      </c>
      <c r="O32" s="58">
        <f t="shared" si="0"/>
        <v>2.1972245773362196</v>
      </c>
      <c r="T32" s="69">
        <v>18</v>
      </c>
      <c r="U32" s="77">
        <f t="shared" si="3"/>
        <v>37.800000000000004</v>
      </c>
      <c r="V32" s="84">
        <v>0</v>
      </c>
      <c r="W32" s="79">
        <f t="shared" si="4"/>
        <v>36.75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105.51703866186045</v>
      </c>
      <c r="M33" s="56">
        <v>41470</v>
      </c>
      <c r="N33" s="57">
        <v>5</v>
      </c>
      <c r="O33" s="58">
        <f t="shared" si="0"/>
        <v>1.6094379124341003</v>
      </c>
      <c r="T33" s="69">
        <v>19</v>
      </c>
      <c r="U33" s="77">
        <f t="shared" si="3"/>
        <v>39.9</v>
      </c>
      <c r="V33" s="84">
        <v>0</v>
      </c>
      <c r="W33" s="79">
        <f t="shared" si="4"/>
        <v>38.85</v>
      </c>
      <c r="X33" s="80">
        <f t="shared" si="2"/>
        <v>0</v>
      </c>
    </row>
    <row r="34" spans="1:24" ht="15" customHeight="1" x14ac:dyDescent="0.2">
      <c r="M34" s="56">
        <v>41640</v>
      </c>
      <c r="N34" s="57">
        <v>6</v>
      </c>
      <c r="O34" s="58">
        <f t="shared" si="0"/>
        <v>1.791759469228055</v>
      </c>
      <c r="T34" s="69">
        <v>20</v>
      </c>
      <c r="U34" s="77">
        <f t="shared" si="3"/>
        <v>42</v>
      </c>
      <c r="V34" s="84">
        <v>1</v>
      </c>
      <c r="W34" s="79">
        <f t="shared" si="4"/>
        <v>40.950000000000003</v>
      </c>
      <c r="X34" s="80">
        <f t="shared" si="2"/>
        <v>1.1904761904761904E-2</v>
      </c>
    </row>
    <row r="35" spans="1:24" ht="15" customHeight="1" x14ac:dyDescent="0.25">
      <c r="A35" s="140" t="s">
        <v>78</v>
      </c>
      <c r="B35" s="140"/>
      <c r="C35" s="140"/>
      <c r="M35" s="56">
        <v>41820</v>
      </c>
      <c r="N35" s="57">
        <v>11</v>
      </c>
      <c r="O35" s="58">
        <f t="shared" si="0"/>
        <v>2.3978952727983707</v>
      </c>
      <c r="T35" s="69">
        <v>21</v>
      </c>
      <c r="U35" s="77">
        <f t="shared" si="3"/>
        <v>44.1</v>
      </c>
      <c r="V35" s="84">
        <v>2</v>
      </c>
      <c r="W35" s="79">
        <f t="shared" si="4"/>
        <v>43.05</v>
      </c>
      <c r="X35" s="80">
        <f t="shared" si="2"/>
        <v>2.3809523809523808E-2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42016</v>
      </c>
      <c r="N36" s="57">
        <v>10</v>
      </c>
      <c r="O36" s="58">
        <f t="shared" si="0"/>
        <v>2.3025850929940459</v>
      </c>
      <c r="T36" s="69">
        <v>22</v>
      </c>
      <c r="U36" s="77">
        <f t="shared" si="3"/>
        <v>46.2</v>
      </c>
      <c r="V36" s="84">
        <v>1</v>
      </c>
      <c r="W36" s="79">
        <f t="shared" si="4"/>
        <v>45.150000000000006</v>
      </c>
      <c r="X36" s="80">
        <f t="shared" si="2"/>
        <v>1.1904761904761904E-2</v>
      </c>
    </row>
    <row r="37" spans="1:24" ht="15.75" x14ac:dyDescent="0.25">
      <c r="A37" s="103" t="s">
        <v>8</v>
      </c>
      <c r="B37" s="52">
        <f>1.05*B11</f>
        <v>52.5</v>
      </c>
      <c r="D37" s="8"/>
      <c r="E37" s="8"/>
      <c r="M37" s="56">
        <v>42114</v>
      </c>
      <c r="N37" s="57">
        <v>13</v>
      </c>
      <c r="O37" s="58">
        <f t="shared" si="0"/>
        <v>2.5649493574615367</v>
      </c>
      <c r="T37" s="69">
        <v>23</v>
      </c>
      <c r="U37" s="77">
        <f t="shared" si="3"/>
        <v>48.300000000000004</v>
      </c>
      <c r="V37" s="84">
        <v>1</v>
      </c>
      <c r="W37" s="79">
        <f t="shared" si="4"/>
        <v>47.25</v>
      </c>
      <c r="X37" s="80">
        <f t="shared" si="2"/>
        <v>1.1904761904761904E-2</v>
      </c>
    </row>
    <row r="38" spans="1:24" ht="15" x14ac:dyDescent="0.2">
      <c r="A38" s="104" t="s">
        <v>19</v>
      </c>
      <c r="B38" s="53">
        <f>($B$37-$B$36)/25</f>
        <v>2.1</v>
      </c>
      <c r="M38" s="56">
        <v>42206</v>
      </c>
      <c r="N38" s="57">
        <v>8</v>
      </c>
      <c r="O38" s="58">
        <f t="shared" si="0"/>
        <v>2.0794415416798357</v>
      </c>
      <c r="T38" s="69">
        <v>24</v>
      </c>
      <c r="U38" s="77">
        <f t="shared" si="3"/>
        <v>50.400000000000006</v>
      </c>
      <c r="V38" s="84">
        <v>0</v>
      </c>
      <c r="W38" s="79">
        <f t="shared" si="4"/>
        <v>49.350000000000009</v>
      </c>
      <c r="X38" s="80">
        <f t="shared" si="2"/>
        <v>0</v>
      </c>
    </row>
    <row r="39" spans="1:24" ht="15" x14ac:dyDescent="0.2">
      <c r="M39" s="56">
        <v>42395</v>
      </c>
      <c r="N39" s="57">
        <v>8</v>
      </c>
      <c r="O39" s="58">
        <f t="shared" si="0"/>
        <v>2.0794415416798357</v>
      </c>
      <c r="T39" s="69">
        <v>25</v>
      </c>
      <c r="U39" s="77">
        <f t="shared" si="3"/>
        <v>52.5</v>
      </c>
      <c r="V39" s="84">
        <v>1</v>
      </c>
      <c r="W39" s="79">
        <f t="shared" si="4"/>
        <v>51.45</v>
      </c>
      <c r="X39" s="80">
        <f t="shared" si="2"/>
        <v>1.1904761904761904E-2</v>
      </c>
    </row>
    <row r="40" spans="1:24" ht="15" x14ac:dyDescent="0.2">
      <c r="M40" s="56">
        <v>42467</v>
      </c>
      <c r="N40" s="57">
        <v>16</v>
      </c>
      <c r="O40" s="58">
        <f t="shared" si="0"/>
        <v>2.7725887222397811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42556</v>
      </c>
      <c r="N41" s="57">
        <v>11</v>
      </c>
      <c r="O41" s="58">
        <f t="shared" si="0"/>
        <v>2.3978952727983707</v>
      </c>
    </row>
    <row r="42" spans="1:24" ht="15" x14ac:dyDescent="0.2">
      <c r="M42" s="56">
        <v>42660</v>
      </c>
      <c r="N42" s="57">
        <v>3</v>
      </c>
      <c r="O42" s="58">
        <f t="shared" si="0"/>
        <v>1.0986122886681098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-2.1000000000000001E-2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2.1000000000000001E-2</v>
      </c>
      <c r="U47" s="28">
        <f>$X$15</f>
        <v>1.1904761904761904E-2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2.0790000000000002</v>
      </c>
      <c r="U48" s="28">
        <f>$X$15</f>
        <v>1.1904761904761904E-2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2.121</v>
      </c>
      <c r="U49" s="28">
        <f>$X$16</f>
        <v>1.1904761904761904E-2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4.1790000000000003</v>
      </c>
      <c r="U50" s="28">
        <f>$X$16</f>
        <v>1.1904761904761904E-2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4.2210000000000001</v>
      </c>
      <c r="U51" s="28">
        <f>$X$17</f>
        <v>3.5714285714285712E-2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6.2790000000000008</v>
      </c>
      <c r="U52" s="28">
        <f>$X$17</f>
        <v>3.5714285714285712E-2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6.3210000000000006</v>
      </c>
      <c r="U53" s="28">
        <f>$X$18</f>
        <v>4.7619047619047616E-2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8.3789999999999996</v>
      </c>
      <c r="U54" s="28">
        <f>$X$18</f>
        <v>4.7619047619047616E-2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8.4210000000000012</v>
      </c>
      <c r="U55" s="28">
        <f>$X$19</f>
        <v>5.9523809523809521E-2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10.478999999999999</v>
      </c>
      <c r="U56" s="28">
        <f>$X$19</f>
        <v>5.9523809523809521E-2</v>
      </c>
    </row>
    <row r="57" spans="5:21" ht="15" x14ac:dyDescent="0.2">
      <c r="E57" s="70">
        <v>1</v>
      </c>
      <c r="F57" s="74">
        <f>$B$21</f>
        <v>44.824286077390624</v>
      </c>
      <c r="G57" s="74">
        <f>$C$21</f>
        <v>-8.6142860773906307</v>
      </c>
      <c r="H57" s="74">
        <f>$B$22</f>
        <v>49.819028855797299</v>
      </c>
      <c r="I57" s="74">
        <f>$C$22</f>
        <v>-13.609028855797302</v>
      </c>
      <c r="J57" s="74">
        <f>$B$31</f>
        <v>53.384988363764776</v>
      </c>
      <c r="K57" s="74">
        <f>$B$32</f>
        <v>75.517038661860454</v>
      </c>
      <c r="M57" s="56"/>
      <c r="N57" s="57"/>
      <c r="O57" s="58" t="b">
        <f t="shared" si="0"/>
        <v>0</v>
      </c>
      <c r="T57" s="85">
        <f>$U$19+$B$38/100</f>
        <v>10.521000000000001</v>
      </c>
      <c r="U57" s="28">
        <f>$X$20</f>
        <v>7.1428571428571425E-2</v>
      </c>
    </row>
    <row r="58" spans="5:21" ht="15" x14ac:dyDescent="0.2">
      <c r="E58" s="70">
        <v>73415</v>
      </c>
      <c r="F58" s="74">
        <f>$B$21</f>
        <v>44.824286077390624</v>
      </c>
      <c r="G58" s="74">
        <f>$C$21</f>
        <v>-8.6142860773906307</v>
      </c>
      <c r="H58" s="74">
        <f>$B$22</f>
        <v>49.819028855797299</v>
      </c>
      <c r="I58" s="74">
        <f>$C$22</f>
        <v>-13.609028855797302</v>
      </c>
      <c r="J58" s="74">
        <f>$B$31</f>
        <v>53.384988363764776</v>
      </c>
      <c r="K58" s="74">
        <f>$B$32</f>
        <v>75.517038661860454</v>
      </c>
      <c r="M58" s="56"/>
      <c r="N58" s="57"/>
      <c r="O58" s="58" t="b">
        <f t="shared" si="0"/>
        <v>0</v>
      </c>
      <c r="T58" s="85">
        <f>$U$20-$B$38/100</f>
        <v>12.579000000000001</v>
      </c>
      <c r="U58" s="28">
        <f>$X$20</f>
        <v>7.1428571428571425E-2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12.621000000000002</v>
      </c>
      <c r="U59" s="28">
        <f>$X$21</f>
        <v>2.3809523809523808E-2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14.679</v>
      </c>
      <c r="U60" s="28">
        <f>$X$21</f>
        <v>2.3809523809523808E-2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14.721000000000002</v>
      </c>
      <c r="U61" s="28">
        <f>$X$22</f>
        <v>1.1904761904761904E-2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16.779</v>
      </c>
      <c r="U62" s="28">
        <f>$X$22</f>
        <v>1.1904761904761904E-2</v>
      </c>
    </row>
    <row r="63" spans="5:21" ht="15" x14ac:dyDescent="0.2">
      <c r="E63" s="72">
        <v>-5</v>
      </c>
      <c r="F63" s="73">
        <f>$B$16+$E63*$B$17</f>
        <v>-50.057696580521252</v>
      </c>
      <c r="G63" s="73">
        <f>NORMDIST($F63,$B$16,$B$17,FALSE)</f>
        <v>1.0905668271046332E-7</v>
      </c>
      <c r="H63" s="73">
        <f>EXP($R$26+$E63*$R$27)</f>
        <v>0.19038707910517511</v>
      </c>
      <c r="I63" s="73">
        <f t="shared" ref="I63:I113" si="5">H63-$B$26</f>
        <v>0.19038707910517511</v>
      </c>
      <c r="J63" s="73">
        <f>1/$H63/SQRT(2*PI())/$R$27*EXP(-POWER(LN($H63)-$R$26,2)/2/POWER($R$27,2))</f>
        <v>9.2063741489742381E-6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16.821000000000002</v>
      </c>
      <c r="U63" s="28">
        <f>$X$23</f>
        <v>1.1904761904761904E-2</v>
      </c>
    </row>
    <row r="64" spans="5:21" ht="15" x14ac:dyDescent="0.2">
      <c r="E64" s="72">
        <v>-4.8</v>
      </c>
      <c r="F64" s="73">
        <f t="shared" ref="F64:F113" si="6">$B$16+$E64*$B$17</f>
        <v>-47.331188717300407</v>
      </c>
      <c r="G64" s="73">
        <f t="shared" ref="G64:G113" si="7">NORMDIST($F64,$B$16,$B$17,FALSE)</f>
        <v>2.9057675897201E-7</v>
      </c>
      <c r="H64" s="73">
        <f t="shared" ref="H64:H113" si="8">EXP($R$26+$E64*$R$27)</f>
        <v>0.22558591566625039</v>
      </c>
      <c r="I64" s="73">
        <f t="shared" si="5"/>
        <v>0.22558591566625039</v>
      </c>
      <c r="J64" s="73">
        <f t="shared" ref="J64:J113" si="9">1/$H64/SQRT(2*PI())/$R$27*EXP(-POWER(LN($H64)-$R$26,2)/2/POWER($R$27,2))</f>
        <v>2.0702495685579218E-5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18.879000000000001</v>
      </c>
      <c r="U64" s="28">
        <f>$X$23</f>
        <v>1.1904761904761904E-2</v>
      </c>
    </row>
    <row r="65" spans="5:21" ht="15" x14ac:dyDescent="0.2">
      <c r="E65" s="72">
        <v>-4.5999999999999996</v>
      </c>
      <c r="F65" s="73">
        <f t="shared" si="6"/>
        <v>-44.604680854079547</v>
      </c>
      <c r="G65" s="73">
        <f t="shared" si="7"/>
        <v>7.4387110356669001E-7</v>
      </c>
      <c r="H65" s="73">
        <f t="shared" si="8"/>
        <v>0.26729232669654074</v>
      </c>
      <c r="I65" s="73">
        <f t="shared" si="5"/>
        <v>0.26729232669654074</v>
      </c>
      <c r="J65" s="73">
        <f t="shared" si="9"/>
        <v>4.4728569162713273E-5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18.921000000000003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-41.878172990858715</v>
      </c>
      <c r="G66" s="73">
        <f t="shared" si="7"/>
        <v>1.829627680632372E-6</v>
      </c>
      <c r="H66" s="73">
        <f t="shared" si="8"/>
        <v>0.31670943507196542</v>
      </c>
      <c r="I66" s="73">
        <f t="shared" si="5"/>
        <v>0.31670943507196542</v>
      </c>
      <c r="J66" s="73">
        <f t="shared" si="9"/>
        <v>9.2848636221296447E-5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20.978999999999999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-39.151665127637855</v>
      </c>
      <c r="G67" s="73">
        <f t="shared" si="7"/>
        <v>4.3237042189865414E-6</v>
      </c>
      <c r="H67" s="73">
        <f t="shared" si="8"/>
        <v>0.37526279748943409</v>
      </c>
      <c r="I67" s="73">
        <f t="shared" si="5"/>
        <v>0.37526279748943409</v>
      </c>
      <c r="J67" s="73">
        <f t="shared" si="9"/>
        <v>1.8518008255101608E-4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21.021000000000001</v>
      </c>
      <c r="U67" s="28">
        <f>$X$25</f>
        <v>2.3809523809523808E-2</v>
      </c>
    </row>
    <row r="68" spans="5:21" ht="15" x14ac:dyDescent="0.2">
      <c r="E68" s="72">
        <v>-4</v>
      </c>
      <c r="F68" s="73">
        <f t="shared" si="6"/>
        <v>-36.42515726441701</v>
      </c>
      <c r="G68" s="73">
        <f t="shared" si="7"/>
        <v>9.8169697267470888E-6</v>
      </c>
      <c r="H68" s="73">
        <f t="shared" si="8"/>
        <v>0.44464152811739616</v>
      </c>
      <c r="I68" s="73">
        <f t="shared" si="5"/>
        <v>0.44464152811739616</v>
      </c>
      <c r="J68" s="73">
        <f t="shared" si="9"/>
        <v>3.5484708205600618E-4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23.079000000000001</v>
      </c>
      <c r="U68" s="28">
        <f>$X$25</f>
        <v>2.3809523809523808E-2</v>
      </c>
    </row>
    <row r="69" spans="5:21" ht="15" x14ac:dyDescent="0.2">
      <c r="E69" s="72">
        <v>-3.8</v>
      </c>
      <c r="F69" s="73">
        <f t="shared" si="6"/>
        <v>-33.69864940119615</v>
      </c>
      <c r="G69" s="73">
        <f t="shared" si="7"/>
        <v>2.1415447190134306E-5</v>
      </c>
      <c r="H69" s="73">
        <f t="shared" si="8"/>
        <v>0.5268470252027575</v>
      </c>
      <c r="I69" s="73">
        <f t="shared" si="5"/>
        <v>0.5268470252027575</v>
      </c>
      <c r="J69" s="73">
        <f t="shared" si="9"/>
        <v>6.5330566488669504E-4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23.121000000000002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-30.972141537975308</v>
      </c>
      <c r="G70" s="73">
        <f t="shared" si="7"/>
        <v>4.4885396324581011E-5</v>
      </c>
      <c r="H70" s="73">
        <f t="shared" si="8"/>
        <v>0.62425070627166068</v>
      </c>
      <c r="I70" s="73">
        <f t="shared" si="5"/>
        <v>0.62425070627166068</v>
      </c>
      <c r="J70" s="73">
        <f t="shared" si="9"/>
        <v>1.1556327218535899E-3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25.179000000000002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-28.245633674754455</v>
      </c>
      <c r="G71" s="73">
        <f t="shared" si="7"/>
        <v>9.0388088374510498E-5</v>
      </c>
      <c r="H71" s="73">
        <f t="shared" si="8"/>
        <v>0.73966241743643724</v>
      </c>
      <c r="I71" s="73">
        <f t="shared" si="5"/>
        <v>0.73966241743643724</v>
      </c>
      <c r="J71" s="73">
        <f t="shared" si="9"/>
        <v>1.9640451062736854E-3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25.221000000000004</v>
      </c>
      <c r="U71" s="28">
        <f>$X$27</f>
        <v>5.9523809523809521E-2</v>
      </c>
    </row>
    <row r="72" spans="5:21" ht="15" x14ac:dyDescent="0.2">
      <c r="E72" s="72">
        <v>-3.2</v>
      </c>
      <c r="F72" s="73">
        <f t="shared" si="6"/>
        <v>-25.519125811533609</v>
      </c>
      <c r="G72" s="73">
        <f t="shared" si="7"/>
        <v>1.7488218050825598E-4</v>
      </c>
      <c r="H72" s="73">
        <f t="shared" si="8"/>
        <v>0.87641149024159459</v>
      </c>
      <c r="I72" s="73">
        <f t="shared" si="5"/>
        <v>0.87641149024159459</v>
      </c>
      <c r="J72" s="73">
        <f t="shared" si="9"/>
        <v>3.2070911653581309E-3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27.279</v>
      </c>
      <c r="U72" s="28">
        <f>$X$27</f>
        <v>5.9523809523809521E-2</v>
      </c>
    </row>
    <row r="73" spans="5:21" ht="15" x14ac:dyDescent="0.2">
      <c r="E73" s="72">
        <v>-3</v>
      </c>
      <c r="F73" s="73">
        <f t="shared" si="6"/>
        <v>-22.792617948312756</v>
      </c>
      <c r="G73" s="73">
        <f t="shared" si="7"/>
        <v>3.250933893660311E-4</v>
      </c>
      <c r="H73" s="73">
        <f t="shared" si="8"/>
        <v>1.0384427843307311</v>
      </c>
      <c r="I73" s="73">
        <f t="shared" si="5"/>
        <v>1.0384427843307311</v>
      </c>
      <c r="J73" s="73">
        <f t="shared" si="9"/>
        <v>5.0315219776422499E-3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27.321000000000002</v>
      </c>
      <c r="U73" s="28">
        <f>$X$28</f>
        <v>1.1904761904761904E-2</v>
      </c>
    </row>
    <row r="74" spans="5:21" ht="15" x14ac:dyDescent="0.2">
      <c r="E74" s="72">
        <v>-2.8</v>
      </c>
      <c r="F74" s="73">
        <f t="shared" si="6"/>
        <v>-20.066110085091903</v>
      </c>
      <c r="G74" s="73">
        <f t="shared" si="7"/>
        <v>5.8062928699052915E-4</v>
      </c>
      <c r="H74" s="73">
        <f t="shared" si="8"/>
        <v>1.2304304865187188</v>
      </c>
      <c r="I74" s="73">
        <f t="shared" si="5"/>
        <v>1.2304304865187188</v>
      </c>
      <c r="J74" s="73">
        <f t="shared" si="9"/>
        <v>7.5843027937051175E-3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29.379000000000001</v>
      </c>
      <c r="U74" s="28">
        <f>$X$28</f>
        <v>1.1904761904761904E-2</v>
      </c>
    </row>
    <row r="75" spans="5:21" ht="15" x14ac:dyDescent="0.2">
      <c r="E75" s="72">
        <v>-2.6</v>
      </c>
      <c r="F75" s="73">
        <f t="shared" si="6"/>
        <v>-17.339602221871058</v>
      </c>
      <c r="G75" s="73">
        <f t="shared" si="7"/>
        <v>9.963638408612488E-4</v>
      </c>
      <c r="H75" s="73">
        <f t="shared" si="8"/>
        <v>1.4579129490802196</v>
      </c>
      <c r="I75" s="73">
        <f t="shared" si="5"/>
        <v>1.4579129490802196</v>
      </c>
      <c r="J75" s="73">
        <f t="shared" si="9"/>
        <v>1.098399112619162E-2</v>
      </c>
      <c r="K75" s="73">
        <f t="shared" si="10"/>
        <v>4.661188023718738E-3</v>
      </c>
      <c r="M75" s="56"/>
      <c r="N75" s="57"/>
      <c r="O75" s="58" t="b">
        <f t="shared" si="11"/>
        <v>0</v>
      </c>
      <c r="T75" s="85">
        <f>$U$28+$B$38/100</f>
        <v>29.421000000000003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-14.613094358650205</v>
      </c>
      <c r="G76" s="73">
        <f t="shared" si="7"/>
        <v>1.6427262577844192E-3</v>
      </c>
      <c r="H76" s="73">
        <f t="shared" si="8"/>
        <v>1.7274524569929444</v>
      </c>
      <c r="I76" s="73">
        <f t="shared" si="5"/>
        <v>1.7274524569929444</v>
      </c>
      <c r="J76" s="73">
        <f t="shared" si="9"/>
        <v>1.5283854834634113E-2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31.478999999999999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-11.886586495429356</v>
      </c>
      <c r="G77" s="73">
        <f t="shared" si="7"/>
        <v>2.6021999294236361E-3</v>
      </c>
      <c r="H77" s="73">
        <f t="shared" si="8"/>
        <v>2.0468245330104153</v>
      </c>
      <c r="I77" s="73">
        <f t="shared" si="5"/>
        <v>2.0468245330104153</v>
      </c>
      <c r="J77" s="73">
        <f t="shared" si="9"/>
        <v>2.0433080952473492E-2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31.521000000000001</v>
      </c>
      <c r="U77" s="28">
        <f>$X$30</f>
        <v>3.5714285714285712E-2</v>
      </c>
    </row>
    <row r="78" spans="5:21" ht="15" x14ac:dyDescent="0.2">
      <c r="E78" s="72">
        <v>-2</v>
      </c>
      <c r="F78" s="73">
        <f t="shared" si="6"/>
        <v>-9.1600786322085028</v>
      </c>
      <c r="G78" s="73">
        <f t="shared" si="7"/>
        <v>3.9604482526162969E-3</v>
      </c>
      <c r="H78" s="73">
        <f t="shared" si="8"/>
        <v>2.4252422415295563</v>
      </c>
      <c r="I78" s="73">
        <f t="shared" si="5"/>
        <v>2.4252422415295563</v>
      </c>
      <c r="J78" s="73">
        <f t="shared" si="9"/>
        <v>2.6245994157360824E-2</v>
      </c>
      <c r="K78" s="73">
        <f t="shared" si="10"/>
        <v>2.2750131948179219E-2</v>
      </c>
      <c r="L78" s="16"/>
      <c r="M78" s="56"/>
      <c r="N78" s="57"/>
      <c r="O78" s="58" t="b">
        <f t="shared" si="11"/>
        <v>0</v>
      </c>
      <c r="T78" s="85">
        <f>$U$30-$B$38/100</f>
        <v>33.579000000000001</v>
      </c>
      <c r="U78" s="28">
        <f>$X$30</f>
        <v>3.5714285714285712E-2</v>
      </c>
    </row>
    <row r="79" spans="5:21" ht="15" x14ac:dyDescent="0.2">
      <c r="E79" s="72">
        <v>-1.8</v>
      </c>
      <c r="F79" s="73">
        <f t="shared" si="6"/>
        <v>-6.4335707689876536</v>
      </c>
      <c r="G79" s="73">
        <f t="shared" si="7"/>
        <v>5.791302447052513E-3</v>
      </c>
      <c r="H79" s="73">
        <f t="shared" si="8"/>
        <v>2.8736219618437486</v>
      </c>
      <c r="I79" s="73">
        <f t="shared" si="5"/>
        <v>2.8736219618437486</v>
      </c>
      <c r="J79" s="73">
        <f t="shared" si="9"/>
        <v>3.2390706491081701E-2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33.621000000000002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-3.7070629057668043</v>
      </c>
      <c r="G80" s="73">
        <f t="shared" si="7"/>
        <v>8.136476419211473E-3</v>
      </c>
      <c r="H80" s="73">
        <f t="shared" si="8"/>
        <v>3.404898297657363</v>
      </c>
      <c r="I80" s="73">
        <f t="shared" si="5"/>
        <v>3.404898297657363</v>
      </c>
      <c r="J80" s="73">
        <f t="shared" si="9"/>
        <v>3.8406615217744119E-2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35.679000000000002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-0.98055504254595149</v>
      </c>
      <c r="G81" s="73">
        <f t="shared" si="7"/>
        <v>1.098309435710707E-2</v>
      </c>
      <c r="H81" s="73">
        <f t="shared" si="8"/>
        <v>4.0343972071926952</v>
      </c>
      <c r="I81" s="73">
        <f t="shared" si="5"/>
        <v>4.0343972071926952</v>
      </c>
      <c r="J81" s="73">
        <f t="shared" si="9"/>
        <v>4.3754212205259033E-2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35.721000000000004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1.7459528206748978</v>
      </c>
      <c r="G82" s="73">
        <f t="shared" si="7"/>
        <v>1.4244305516421222E-2</v>
      </c>
      <c r="H82" s="73">
        <f t="shared" si="8"/>
        <v>4.7802781177348743</v>
      </c>
      <c r="I82" s="73">
        <f t="shared" si="5"/>
        <v>4.7802781177348743</v>
      </c>
      <c r="J82" s="73">
        <f t="shared" si="9"/>
        <v>4.7891884215779668E-2</v>
      </c>
      <c r="K82" s="73">
        <f t="shared" si="10"/>
        <v>0.11506967022170828</v>
      </c>
      <c r="L82" s="14"/>
      <c r="M82" s="56"/>
      <c r="N82" s="57"/>
      <c r="O82" s="58" t="b">
        <f t="shared" si="11"/>
        <v>0</v>
      </c>
      <c r="T82" s="85">
        <f>$U$32-$B$38/100</f>
        <v>37.779000000000003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4.4724606838957488</v>
      </c>
      <c r="G83" s="73">
        <f t="shared" si="7"/>
        <v>1.7749497647389947E-2</v>
      </c>
      <c r="H83" s="73">
        <f t="shared" si="8"/>
        <v>5.6640577784842367</v>
      </c>
      <c r="I83" s="73">
        <f t="shared" si="5"/>
        <v>5.6640577784842367</v>
      </c>
      <c r="J83" s="73">
        <f t="shared" si="9"/>
        <v>5.036538982361153E-2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37.821000000000005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7.1989685471165981</v>
      </c>
      <c r="G84" s="73">
        <f t="shared" si="7"/>
        <v>2.125000677014496E-2</v>
      </c>
      <c r="H84" s="73">
        <f t="shared" si="8"/>
        <v>6.7112309635259413</v>
      </c>
      <c r="I84" s="73">
        <f t="shared" si="5"/>
        <v>6.7112309635259413</v>
      </c>
      <c r="J84" s="73">
        <f t="shared" si="9"/>
        <v>5.0889794396099919E-2</v>
      </c>
      <c r="K84" s="73">
        <f t="shared" si="10"/>
        <v>0.21185539858339661</v>
      </c>
      <c r="M84" s="56"/>
      <c r="N84" s="57"/>
      <c r="O84" s="58" t="b">
        <f t="shared" si="11"/>
        <v>0</v>
      </c>
      <c r="T84" s="85">
        <f>$U$33-$B$38/100</f>
        <v>39.878999999999998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9.9254764103374491</v>
      </c>
      <c r="G85" s="73">
        <f t="shared" si="7"/>
        <v>2.4443326013236445E-2</v>
      </c>
      <c r="H85" s="73">
        <f t="shared" si="8"/>
        <v>7.9520059306038178</v>
      </c>
      <c r="I85" s="73">
        <f t="shared" si="5"/>
        <v>7.9520059306038178</v>
      </c>
      <c r="J85" s="73">
        <f t="shared" si="9"/>
        <v>4.9403465399642306E-2</v>
      </c>
      <c r="K85" s="73">
        <f t="shared" si="10"/>
        <v>0.27425311775007355</v>
      </c>
      <c r="M85" s="56"/>
      <c r="N85" s="57"/>
      <c r="O85" s="58" t="b">
        <f t="shared" si="11"/>
        <v>0</v>
      </c>
      <c r="T85" s="85">
        <f>$U$33+$B$38/100</f>
        <v>39.920999999999999</v>
      </c>
      <c r="U85" s="28">
        <f>$X$34</f>
        <v>1.1904761904761904E-2</v>
      </c>
    </row>
    <row r="86" spans="5:21" ht="15" x14ac:dyDescent="0.2">
      <c r="E86" s="72">
        <v>-0.4</v>
      </c>
      <c r="F86" s="73">
        <f t="shared" si="6"/>
        <v>12.651984273558298</v>
      </c>
      <c r="G86" s="73">
        <f t="shared" si="7"/>
        <v>2.7014053050870884E-2</v>
      </c>
      <c r="H86" s="73">
        <f t="shared" si="8"/>
        <v>9.4221758517957852</v>
      </c>
      <c r="I86" s="73">
        <f t="shared" si="5"/>
        <v>9.4221758517957852</v>
      </c>
      <c r="J86" s="73">
        <f t="shared" si="9"/>
        <v>4.6079987384704708E-2</v>
      </c>
      <c r="K86" s="73">
        <f t="shared" si="10"/>
        <v>0.34457825838967576</v>
      </c>
      <c r="M86" s="56"/>
      <c r="N86" s="57"/>
      <c r="O86" s="58" t="b">
        <f t="shared" si="11"/>
        <v>0</v>
      </c>
      <c r="T86" s="85">
        <f>$U$34-$B$38/100</f>
        <v>41.978999999999999</v>
      </c>
      <c r="U86" s="28">
        <f>$X$34</f>
        <v>1.1904761904761904E-2</v>
      </c>
    </row>
    <row r="87" spans="5:21" ht="15" x14ac:dyDescent="0.2">
      <c r="E87" s="72">
        <v>-0.2</v>
      </c>
      <c r="F87" s="73">
        <f t="shared" si="6"/>
        <v>15.378492136779149</v>
      </c>
      <c r="G87" s="73">
        <f t="shared" si="7"/>
        <v>2.8684508799729874E-2</v>
      </c>
      <c r="H87" s="73">
        <f t="shared" si="8"/>
        <v>11.164151354628395</v>
      </c>
      <c r="I87" s="73">
        <f t="shared" si="5"/>
        <v>11.164151354628395</v>
      </c>
      <c r="J87" s="73">
        <f t="shared" si="9"/>
        <v>4.1294813613366482E-2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42.021000000000001</v>
      </c>
      <c r="U87" s="28">
        <f>$X$35</f>
        <v>2.3809523809523808E-2</v>
      </c>
    </row>
    <row r="88" spans="5:21" ht="15" x14ac:dyDescent="0.2">
      <c r="E88" s="72">
        <v>0</v>
      </c>
      <c r="F88" s="73">
        <f t="shared" si="6"/>
        <v>18.105</v>
      </c>
      <c r="G88" s="73">
        <f t="shared" si="7"/>
        <v>2.9263974315493688E-2</v>
      </c>
      <c r="H88" s="73">
        <f t="shared" si="8"/>
        <v>13.228183959790567</v>
      </c>
      <c r="I88" s="73">
        <f t="shared" si="5"/>
        <v>13.228183959790567</v>
      </c>
      <c r="J88" s="73">
        <f t="shared" si="9"/>
        <v>3.5555508136895779E-2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44.079000000000001</v>
      </c>
      <c r="U88" s="28">
        <f>$X$35</f>
        <v>2.3809523809523808E-2</v>
      </c>
    </row>
    <row r="89" spans="5:21" ht="15" x14ac:dyDescent="0.2">
      <c r="E89" s="72">
        <v>0.2</v>
      </c>
      <c r="F89" s="73">
        <f t="shared" si="6"/>
        <v>20.83150786322085</v>
      </c>
      <c r="G89" s="73">
        <f t="shared" si="7"/>
        <v>2.8684508799729877E-2</v>
      </c>
      <c r="H89" s="73">
        <f t="shared" si="8"/>
        <v>15.673815708483369</v>
      </c>
      <c r="I89" s="73">
        <f t="shared" si="5"/>
        <v>15.673815708483369</v>
      </c>
      <c r="J89" s="73">
        <f t="shared" si="9"/>
        <v>2.9413485389602166E-2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44.121000000000002</v>
      </c>
      <c r="U89" s="28">
        <f>$X$36</f>
        <v>1.1904761904761904E-2</v>
      </c>
    </row>
    <row r="90" spans="5:21" ht="15" x14ac:dyDescent="0.2">
      <c r="E90" s="72">
        <v>0.4</v>
      </c>
      <c r="F90" s="73">
        <f t="shared" si="6"/>
        <v>23.558015726441702</v>
      </c>
      <c r="G90" s="73">
        <f t="shared" si="7"/>
        <v>2.7014053050870884E-2</v>
      </c>
      <c r="H90" s="73">
        <f t="shared" si="8"/>
        <v>18.571596797432921</v>
      </c>
      <c r="I90" s="73">
        <f t="shared" si="5"/>
        <v>18.571596797432921</v>
      </c>
      <c r="J90" s="73">
        <f t="shared" si="9"/>
        <v>2.3378374467360463E-2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46.179000000000002</v>
      </c>
      <c r="U90" s="28">
        <f>$X$36</f>
        <v>1.1904761904761904E-2</v>
      </c>
    </row>
    <row r="91" spans="5:21" ht="15" x14ac:dyDescent="0.2">
      <c r="E91" s="72">
        <v>0.6</v>
      </c>
      <c r="F91" s="73">
        <f t="shared" si="6"/>
        <v>26.284523589662552</v>
      </c>
      <c r="G91" s="73">
        <f t="shared" si="7"/>
        <v>2.4443326013236445E-2</v>
      </c>
      <c r="H91" s="73">
        <f t="shared" si="8"/>
        <v>22.005120770926457</v>
      </c>
      <c r="I91" s="73">
        <f t="shared" si="5"/>
        <v>22.005120770926457</v>
      </c>
      <c r="J91" s="73">
        <f t="shared" si="9"/>
        <v>1.7852964950293978E-2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46.221000000000004</v>
      </c>
      <c r="U91" s="28">
        <f>$X$37</f>
        <v>1.1904761904761904E-2</v>
      </c>
    </row>
    <row r="92" spans="5:21" ht="15" x14ac:dyDescent="0.2">
      <c r="E92" s="72">
        <v>0.80000000000001004</v>
      </c>
      <c r="F92" s="73">
        <f t="shared" si="6"/>
        <v>29.011031452883536</v>
      </c>
      <c r="G92" s="73">
        <f t="shared" si="7"/>
        <v>2.12500067701448E-2</v>
      </c>
      <c r="H92" s="73">
        <f t="shared" si="8"/>
        <v>26.073435979936608</v>
      </c>
      <c r="I92" s="73">
        <f t="shared" si="5"/>
        <v>26.073435979936608</v>
      </c>
      <c r="J92" s="73">
        <f t="shared" si="9"/>
        <v>1.3098893607324339E-2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48.279000000000003</v>
      </c>
      <c r="U92" s="28">
        <f>$X$37</f>
        <v>1.1904761904761904E-2</v>
      </c>
    </row>
    <row r="93" spans="5:21" ht="15" x14ac:dyDescent="0.2">
      <c r="E93" s="72">
        <v>1.00000000000001</v>
      </c>
      <c r="F93" s="73">
        <f t="shared" si="6"/>
        <v>31.737539316104389</v>
      </c>
      <c r="G93" s="73">
        <f t="shared" si="7"/>
        <v>1.7749497647389766E-2</v>
      </c>
      <c r="H93" s="73">
        <f t="shared" si="8"/>
        <v>30.893902872736891</v>
      </c>
      <c r="I93" s="73">
        <f t="shared" si="5"/>
        <v>30.893902872736891</v>
      </c>
      <c r="J93" s="73">
        <f t="shared" si="9"/>
        <v>9.2339410521213479E-3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48.321000000000005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34.464047179325235</v>
      </c>
      <c r="G94" s="73">
        <f t="shared" si="7"/>
        <v>1.4244305516421052E-2</v>
      </c>
      <c r="H94" s="73">
        <f t="shared" si="8"/>
        <v>36.605579542509567</v>
      </c>
      <c r="I94" s="73">
        <f t="shared" si="5"/>
        <v>36.605579542509567</v>
      </c>
      <c r="J94" s="73">
        <f t="shared" si="9"/>
        <v>6.2541429201501981E-3</v>
      </c>
      <c r="K94" s="73">
        <f t="shared" si="10"/>
        <v>0.88493032977829356</v>
      </c>
      <c r="M94" s="56"/>
      <c r="N94" s="57"/>
      <c r="O94" s="58" t="b">
        <f t="shared" si="11"/>
        <v>0</v>
      </c>
      <c r="T94" s="85">
        <f>$U$38-$B$38/100</f>
        <v>50.379000000000005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37.190555042546087</v>
      </c>
      <c r="G95" s="73">
        <f t="shared" si="7"/>
        <v>1.0983094357106916E-2</v>
      </c>
      <c r="H95" s="73">
        <f t="shared" si="8"/>
        <v>43.373233196297946</v>
      </c>
      <c r="I95" s="73">
        <f t="shared" si="5"/>
        <v>43.373233196297946</v>
      </c>
      <c r="J95" s="73">
        <f t="shared" si="9"/>
        <v>4.0698342852355717E-3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50.421000000000006</v>
      </c>
      <c r="U95" s="28">
        <f>$X$39</f>
        <v>1.1904761904761904E-2</v>
      </c>
    </row>
    <row r="96" spans="5:21" ht="15" x14ac:dyDescent="0.2">
      <c r="E96" s="72">
        <v>1.6000000000000101</v>
      </c>
      <c r="F96" s="73">
        <f t="shared" si="6"/>
        <v>39.91706290576694</v>
      </c>
      <c r="G96" s="73">
        <f t="shared" si="7"/>
        <v>8.1364764192113428E-3</v>
      </c>
      <c r="H96" s="73">
        <f t="shared" si="8"/>
        <v>51.392093265885478</v>
      </c>
      <c r="I96" s="73">
        <f t="shared" si="5"/>
        <v>51.392093265885478</v>
      </c>
      <c r="J96" s="73">
        <f t="shared" si="9"/>
        <v>2.5445668869161033E-3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52.478999999999999</v>
      </c>
      <c r="U96" s="28">
        <f>$X$39</f>
        <v>1.1904761904761904E-2</v>
      </c>
    </row>
    <row r="97" spans="5:21" ht="15" x14ac:dyDescent="0.2">
      <c r="E97" s="72">
        <v>1.80000000000001</v>
      </c>
      <c r="F97" s="73">
        <f t="shared" si="6"/>
        <v>42.643570768987786</v>
      </c>
      <c r="G97" s="73">
        <f t="shared" si="7"/>
        <v>5.7913024470524115E-3</v>
      </c>
      <c r="H97" s="73">
        <f t="shared" si="8"/>
        <v>60.893483275646204</v>
      </c>
      <c r="I97" s="73">
        <f t="shared" si="5"/>
        <v>60.893483275646204</v>
      </c>
      <c r="J97" s="73">
        <f t="shared" si="9"/>
        <v>1.5285485494575331E-3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52.521000000000001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45.370078632208646</v>
      </c>
      <c r="G98" s="73">
        <f t="shared" si="7"/>
        <v>3.9604482526162162E-3</v>
      </c>
      <c r="H98" s="73">
        <f t="shared" si="8"/>
        <v>72.151493932293647</v>
      </c>
      <c r="I98" s="73">
        <f t="shared" si="5"/>
        <v>72.151493932293647</v>
      </c>
      <c r="J98" s="73">
        <f t="shared" si="9"/>
        <v>8.8221172192358692E-4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48.096586495429491</v>
      </c>
      <c r="G99" s="73">
        <f t="shared" si="7"/>
        <v>2.6021999294235801E-3</v>
      </c>
      <c r="H99" s="73">
        <f t="shared" si="8"/>
        <v>85.490889938034314</v>
      </c>
      <c r="I99" s="73">
        <f t="shared" si="5"/>
        <v>85.490889938034314</v>
      </c>
      <c r="J99" s="73">
        <f t="shared" si="9"/>
        <v>4.8920921759995552E-4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50.823094358650337</v>
      </c>
      <c r="G100" s="73">
        <f t="shared" si="7"/>
        <v>1.6427262577843804E-3</v>
      </c>
      <c r="H100" s="73">
        <f t="shared" si="8"/>
        <v>101.29647861838468</v>
      </c>
      <c r="I100" s="73">
        <f t="shared" si="5"/>
        <v>101.29647861838468</v>
      </c>
      <c r="J100" s="73">
        <f t="shared" si="9"/>
        <v>2.6064215604055299E-4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53.549602221871183</v>
      </c>
      <c r="G101" s="73">
        <f t="shared" si="7"/>
        <v>9.9636384086122581E-4</v>
      </c>
      <c r="H101" s="73">
        <f t="shared" si="8"/>
        <v>120.02421062550933</v>
      </c>
      <c r="I101" s="73">
        <f t="shared" si="5"/>
        <v>120.02421062550933</v>
      </c>
      <c r="J101" s="73">
        <f t="shared" si="9"/>
        <v>1.3342060582611441E-4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56.276110085092043</v>
      </c>
      <c r="G102" s="73">
        <f t="shared" si="7"/>
        <v>5.8062928699051267E-4</v>
      </c>
      <c r="H102" s="73">
        <f t="shared" si="8"/>
        <v>142.21433294387069</v>
      </c>
      <c r="I102" s="73">
        <f t="shared" si="5"/>
        <v>142.21433294387069</v>
      </c>
      <c r="J102" s="73">
        <f t="shared" si="9"/>
        <v>6.5618965284228791E-5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59.002617948312889</v>
      </c>
      <c r="G103" s="73">
        <f t="shared" si="7"/>
        <v>3.2509338936602189E-4</v>
      </c>
      <c r="H103" s="73">
        <f t="shared" si="8"/>
        <v>168.5069736286323</v>
      </c>
      <c r="I103" s="73">
        <f t="shared" si="5"/>
        <v>168.5069736286323</v>
      </c>
      <c r="J103" s="73">
        <f t="shared" si="9"/>
        <v>3.1007308358638201E-5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61.729125811533734</v>
      </c>
      <c r="G104" s="73">
        <f t="shared" si="7"/>
        <v>1.7488218050825102E-4</v>
      </c>
      <c r="H104" s="73">
        <f t="shared" si="8"/>
        <v>199.66060785650458</v>
      </c>
      <c r="I104" s="73">
        <f t="shared" si="5"/>
        <v>199.66060785650458</v>
      </c>
      <c r="J104" s="73">
        <f t="shared" si="9"/>
        <v>1.4077546781747503E-5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64.455633674754594</v>
      </c>
      <c r="G105" s="73">
        <f t="shared" si="7"/>
        <v>9.0388088374507435E-5</v>
      </c>
      <c r="H105" s="73">
        <f t="shared" si="8"/>
        <v>236.57393798718874</v>
      </c>
      <c r="I105" s="73">
        <f t="shared" si="5"/>
        <v>236.57393798718874</v>
      </c>
      <c r="J105" s="73">
        <f t="shared" si="9"/>
        <v>6.1407032559064929E-6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67.18214153797544</v>
      </c>
      <c r="G106" s="73">
        <f t="shared" si="7"/>
        <v>4.4885396324579493E-5</v>
      </c>
      <c r="H106" s="73">
        <f t="shared" si="8"/>
        <v>280.31181881901176</v>
      </c>
      <c r="I106" s="73">
        <f t="shared" si="5"/>
        <v>280.31181881901176</v>
      </c>
      <c r="J106" s="73">
        <f t="shared" si="9"/>
        <v>2.5735787589944836E-6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69.9086494011963</v>
      </c>
      <c r="G107" s="73">
        <f t="shared" si="7"/>
        <v>2.1415447190133489E-5</v>
      </c>
      <c r="H107" s="73">
        <f t="shared" si="8"/>
        <v>332.13597591581521</v>
      </c>
      <c r="I107" s="73">
        <f t="shared" si="5"/>
        <v>332.13597591581521</v>
      </c>
      <c r="J107" s="73">
        <f t="shared" si="9"/>
        <v>1.0362988988006888E-6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72.635157264417145</v>
      </c>
      <c r="G108" s="73">
        <f t="shared" si="7"/>
        <v>9.8169697267467382E-6</v>
      </c>
      <c r="H108" s="73">
        <f t="shared" si="8"/>
        <v>393.54140314995874</v>
      </c>
      <c r="I108" s="73">
        <f t="shared" si="5"/>
        <v>393.54140314995874</v>
      </c>
      <c r="J108" s="73">
        <f t="shared" si="9"/>
        <v>4.0092286999661277E-7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75.361665127637991</v>
      </c>
      <c r="G109" s="73">
        <f t="shared" si="7"/>
        <v>4.3237042189863644E-6</v>
      </c>
      <c r="H109" s="73">
        <f t="shared" si="8"/>
        <v>466.29948943710224</v>
      </c>
      <c r="I109" s="73">
        <f t="shared" si="5"/>
        <v>466.29948943710224</v>
      </c>
      <c r="J109" s="73">
        <f t="shared" si="9"/>
        <v>1.4902696098016934E-7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78.088172990858851</v>
      </c>
      <c r="G110" s="73">
        <f t="shared" si="7"/>
        <v>1.8296276806323004E-6</v>
      </c>
      <c r="H110" s="73">
        <f t="shared" si="8"/>
        <v>552.50911875833526</v>
      </c>
      <c r="I110" s="73">
        <f t="shared" si="5"/>
        <v>552.50911875833526</v>
      </c>
      <c r="J110" s="73">
        <f t="shared" si="9"/>
        <v>5.3222721809429661E-8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80.814680854079697</v>
      </c>
      <c r="G111" s="73">
        <f t="shared" si="7"/>
        <v>7.4387110356665295E-7</v>
      </c>
      <c r="H111" s="73">
        <f t="shared" si="8"/>
        <v>654.65721757409017</v>
      </c>
      <c r="I111" s="73">
        <f t="shared" si="5"/>
        <v>654.65721757409017</v>
      </c>
      <c r="J111" s="73">
        <f t="shared" si="9"/>
        <v>1.8262386788632774E-8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83.541188717300543</v>
      </c>
      <c r="G112" s="73">
        <f t="shared" si="7"/>
        <v>2.9057675897199656E-7</v>
      </c>
      <c r="H112" s="73">
        <f t="shared" si="8"/>
        <v>775.69049626727758</v>
      </c>
      <c r="I112" s="73">
        <f t="shared" si="5"/>
        <v>775.69049626727758</v>
      </c>
      <c r="J112" s="73">
        <f t="shared" si="9"/>
        <v>6.0206892675381662E-9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86.26769658052126</v>
      </c>
      <c r="G113" s="73">
        <f t="shared" si="7"/>
        <v>1.0905668271046332E-7</v>
      </c>
      <c r="H113" s="73">
        <f t="shared" si="8"/>
        <v>919.10045417207084</v>
      </c>
      <c r="I113" s="73">
        <f t="shared" si="5"/>
        <v>919.10045417207084</v>
      </c>
      <c r="J113" s="73">
        <f t="shared" si="9"/>
        <v>1.9070545286059112E-9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-0.63066849130629787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181.36403628690184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-4.1314509709802659E-3</v>
      </c>
      <c r="H120" s="69" t="s">
        <v>50</v>
      </c>
      <c r="I120" s="79">
        <f>IF($B$9&gt;3,INDEX(XX!$C$4:$C$150,$B$9))</f>
        <v>0.30080000000000001</v>
      </c>
      <c r="J120" s="79">
        <f>IF($B$9&gt;3,INDEX(XX!$D$4:$D$150,$B$9))</f>
        <v>0.38869999999999999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2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181.35577338495989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42660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5.1163378648836897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B44" sqref="B44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61" t="s">
        <v>146</v>
      </c>
      <c r="B1" s="162"/>
      <c r="C1" s="162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63"/>
      <c r="B2" s="162"/>
      <c r="C2" s="162"/>
      <c r="M2" s="135" t="s">
        <v>0</v>
      </c>
      <c r="N2" s="135" t="s">
        <v>79</v>
      </c>
      <c r="O2" s="13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/>
      <c r="N3" s="57"/>
      <c r="O3" s="58" t="b">
        <f t="shared" ref="O3:O66" si="0">IF($N3&gt;0,LN($N3+$B$26))</f>
        <v>0</v>
      </c>
      <c r="T3" s="69" t="s">
        <v>109</v>
      </c>
      <c r="U3" s="82" t="e">
        <f>$B$21</f>
        <v>#DIV/0!</v>
      </c>
      <c r="V3" s="82" t="e">
        <f t="shared" ref="V3:V10" si="1">U3</f>
        <v>#DIV/0!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/>
      <c r="N4" s="57"/>
      <c r="O4" s="58" t="b">
        <f t="shared" si="0"/>
        <v>0</v>
      </c>
      <c r="T4" s="69" t="s">
        <v>111</v>
      </c>
      <c r="U4" s="82" t="e">
        <f>$B$31</f>
        <v>#DIV/0!</v>
      </c>
      <c r="V4" s="82" t="e">
        <f t="shared" si="1"/>
        <v>#DIV/0!</v>
      </c>
    </row>
    <row r="5" spans="1:24" ht="15" customHeight="1" x14ac:dyDescent="0.2">
      <c r="A5" s="97" t="s">
        <v>70</v>
      </c>
      <c r="B5" s="133" t="s">
        <v>71</v>
      </c>
      <c r="C5" s="18"/>
      <c r="D5" s="4"/>
      <c r="M5" s="56"/>
      <c r="N5" s="57"/>
      <c r="O5" s="58" t="b">
        <f t="shared" si="0"/>
        <v>0</v>
      </c>
      <c r="T5" s="69" t="s">
        <v>110</v>
      </c>
      <c r="U5" s="82" t="e">
        <f>$B$22</f>
        <v>#DIV/0!</v>
      </c>
      <c r="V5" s="82" t="e">
        <f t="shared" si="1"/>
        <v>#DIV/0!</v>
      </c>
    </row>
    <row r="6" spans="1:24" ht="15" customHeight="1" x14ac:dyDescent="0.2">
      <c r="A6" s="107" t="s">
        <v>18</v>
      </c>
      <c r="B6" s="133">
        <v>0</v>
      </c>
      <c r="C6" s="18"/>
      <c r="M6" s="56"/>
      <c r="N6" s="57"/>
      <c r="O6" s="58" t="b">
        <f t="shared" si="0"/>
        <v>0</v>
      </c>
      <c r="T6" s="69" t="s">
        <v>29</v>
      </c>
      <c r="U6" s="82" t="e">
        <f>$B$32</f>
        <v>#DIV/0!</v>
      </c>
      <c r="V6" s="82" t="e">
        <f t="shared" si="1"/>
        <v>#DIV/0!</v>
      </c>
    </row>
    <row r="7" spans="1:24" ht="15" customHeight="1" x14ac:dyDescent="0.2">
      <c r="D7" s="4"/>
      <c r="F7" s="5"/>
      <c r="M7" s="56"/>
      <c r="N7" s="57"/>
      <c r="O7" s="58" t="b">
        <f t="shared" si="0"/>
        <v>0</v>
      </c>
      <c r="T7" s="69" t="s">
        <v>31</v>
      </c>
      <c r="U7" s="82" t="e">
        <f>$C$21</f>
        <v>#DIV/0!</v>
      </c>
      <c r="V7" s="82" t="e">
        <f t="shared" si="1"/>
        <v>#DIV/0!</v>
      </c>
    </row>
    <row r="8" spans="1:24" ht="15" customHeight="1" x14ac:dyDescent="0.25">
      <c r="A8" s="140" t="s">
        <v>12</v>
      </c>
      <c r="B8" s="140"/>
      <c r="C8" s="140"/>
      <c r="D8" s="4"/>
      <c r="M8" s="56"/>
      <c r="N8" s="57"/>
      <c r="O8" s="58" t="b">
        <f t="shared" si="0"/>
        <v>0</v>
      </c>
      <c r="T8" s="69" t="s">
        <v>32</v>
      </c>
      <c r="U8" s="82" t="e">
        <f>$C$31</f>
        <v>#DIV/0!</v>
      </c>
      <c r="V8" s="82" t="e">
        <f t="shared" si="1"/>
        <v>#DIV/0!</v>
      </c>
    </row>
    <row r="9" spans="1:24" ht="15" customHeight="1" x14ac:dyDescent="0.2">
      <c r="A9" s="101" t="s">
        <v>11</v>
      </c>
      <c r="B9" s="59">
        <f>COUNT($M$3:$M252)</f>
        <v>0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 t="e">
        <f>$C$22</f>
        <v>#DIV/0!</v>
      </c>
      <c r="V9" s="82" t="e">
        <f t="shared" si="1"/>
        <v>#DIV/0!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 t="e">
        <f>$C$32</f>
        <v>#DIV/0!</v>
      </c>
      <c r="V10" s="82" t="e">
        <f t="shared" si="1"/>
        <v>#DIV/0!</v>
      </c>
    </row>
    <row r="11" spans="1:24" ht="15" customHeight="1" x14ac:dyDescent="0.2">
      <c r="A11" s="102" t="s">
        <v>8</v>
      </c>
      <c r="B11" s="61">
        <f>MAX($N$3:$N$252)</f>
        <v>0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 t="e">
        <f>$B$12</f>
        <v>#NUM!</v>
      </c>
      <c r="V11" s="82" t="e">
        <f>U11</f>
        <v>#NUM!</v>
      </c>
    </row>
    <row r="12" spans="1:24" ht="15" customHeight="1" x14ac:dyDescent="0.2">
      <c r="A12" s="102" t="s">
        <v>68</v>
      </c>
      <c r="B12" s="62" t="e">
        <f>MEDIAN($N$3:$N$252)</f>
        <v>#NUM!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e">
        <f>IF(ABS($G$118)&gt;$J$120,"&gt; 99%",IF(ABS($G$118)&gt;$I$120,"&gt; 95%","nicht signifikant"))</f>
        <v>#DIV/0!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0</v>
      </c>
      <c r="V14" s="78"/>
      <c r="W14" s="79">
        <v>0</v>
      </c>
      <c r="X14" s="80" t="e">
        <f t="shared" ref="X14:X40" si="2">V14/$B$38/$B$9</f>
        <v>#DIV/0!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0</v>
      </c>
      <c r="V15" s="84">
        <f>FREQUENCY($N$3:$N$252,$U$15:$U$39)</f>
        <v>0</v>
      </c>
      <c r="W15" s="79">
        <f t="shared" ref="W15:W39" si="4">(U15+U14)/2</f>
        <v>0</v>
      </c>
      <c r="X15" s="80" t="e">
        <f t="shared" si="2"/>
        <v>#DIV/0!</v>
      </c>
    </row>
    <row r="16" spans="1:24" ht="15" customHeight="1" x14ac:dyDescent="0.2">
      <c r="A16" s="101" t="s">
        <v>73</v>
      </c>
      <c r="B16" s="63" t="e">
        <f>AVERAGE($N$3:$N$252)</f>
        <v>#DIV/0!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0</v>
      </c>
      <c r="V16" s="84">
        <f t="array" ref="V16:V40">FREQUENCY($N$3:$N$252,$U$15:$U$39)</f>
        <v>0</v>
      </c>
      <c r="W16" s="79">
        <f t="shared" si="4"/>
        <v>0</v>
      </c>
      <c r="X16" s="80" t="e">
        <f t="shared" si="2"/>
        <v>#DIV/0!</v>
      </c>
    </row>
    <row r="17" spans="1:24" ht="15" customHeight="1" x14ac:dyDescent="0.2">
      <c r="A17" s="102" t="s">
        <v>75</v>
      </c>
      <c r="B17" s="62" t="e">
        <f>STDEV($N$3:$N$252)</f>
        <v>#DIV/0!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0</v>
      </c>
      <c r="V17" s="84">
        <v>0</v>
      </c>
      <c r="W17" s="79">
        <f t="shared" si="4"/>
        <v>0</v>
      </c>
      <c r="X17" s="80" t="e">
        <f t="shared" si="2"/>
        <v>#DIV/0!</v>
      </c>
    </row>
    <row r="18" spans="1:24" ht="15" customHeight="1" x14ac:dyDescent="0.2">
      <c r="A18" s="102" t="s">
        <v>92</v>
      </c>
      <c r="B18" s="24" t="e">
        <f>((NORMINV(0.83,B16,B17)-B12)-(B12-NORMINV(0.17,B16,B17)))/(NORMINV(0.83,B16,B17)-NORMINV(0.17,B16,B17))</f>
        <v>#DIV/0!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0</v>
      </c>
      <c r="V18" s="84">
        <v>0</v>
      </c>
      <c r="W18" s="79">
        <f t="shared" si="4"/>
        <v>0</v>
      </c>
      <c r="X18" s="80" t="e">
        <f t="shared" si="2"/>
        <v>#DIV/0!</v>
      </c>
    </row>
    <row r="19" spans="1:24" ht="15" customHeight="1" x14ac:dyDescent="0.25">
      <c r="A19" s="102" t="s">
        <v>25</v>
      </c>
      <c r="B19" s="20" t="e">
        <f>IF(ABS(($B$16-$B$12)/$B$16)&lt;=0.1,"gut",IF(ABS(($B$16-$B$12)/$B$16)&lt;=0.2,"mäßig","schlecht"))</f>
        <v>#DIV/0!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</v>
      </c>
      <c r="V19" s="84">
        <v>0</v>
      </c>
      <c r="W19" s="79">
        <f t="shared" si="4"/>
        <v>0</v>
      </c>
      <c r="X19" s="80" t="e">
        <f t="shared" si="2"/>
        <v>#DIV/0!</v>
      </c>
    </row>
    <row r="20" spans="1:24" ht="15" customHeight="1" x14ac:dyDescent="0.2">
      <c r="A20" s="102" t="s">
        <v>44</v>
      </c>
      <c r="B20" s="20" t="e">
        <f>IF(((B11-B10)/B17)&gt;INDEX(XX!$B$4:'XX'!$B$150,$B$9-3),"ja","nein")</f>
        <v>#DIV/0!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</v>
      </c>
      <c r="V20" s="84">
        <v>0</v>
      </c>
      <c r="W20" s="79">
        <f t="shared" si="4"/>
        <v>0</v>
      </c>
      <c r="X20" s="80" t="e">
        <f t="shared" si="2"/>
        <v>#DIV/0!</v>
      </c>
    </row>
    <row r="21" spans="1:24" ht="15" customHeight="1" x14ac:dyDescent="0.2">
      <c r="A21" s="103" t="s">
        <v>76</v>
      </c>
      <c r="B21" s="62" t="e">
        <f>NORMINV(0.975,$B$16,$B$17)</f>
        <v>#DIV/0!</v>
      </c>
      <c r="C21" s="62" t="e">
        <f>NORMINV(0.025,$B$16,$B$17)</f>
        <v>#DIV/0!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</v>
      </c>
      <c r="V21" s="84">
        <v>0</v>
      </c>
      <c r="W21" s="79">
        <f t="shared" si="4"/>
        <v>0</v>
      </c>
      <c r="X21" s="80" t="e">
        <f t="shared" si="2"/>
        <v>#DIV/0!</v>
      </c>
    </row>
    <row r="22" spans="1:24" ht="15" customHeight="1" x14ac:dyDescent="0.2">
      <c r="A22" s="104" t="s">
        <v>77</v>
      </c>
      <c r="B22" s="62" t="e">
        <f>NORMINV(0.99,$B$16,$B$17)</f>
        <v>#DIV/0!</v>
      </c>
      <c r="C22" s="62" t="e">
        <f>NORMINV(0.01,B16,B17)</f>
        <v>#DIV/0!</v>
      </c>
      <c r="M22" s="56"/>
      <c r="N22" s="57"/>
      <c r="O22" s="58" t="b">
        <f t="shared" si="0"/>
        <v>0</v>
      </c>
      <c r="T22" s="69">
        <v>8</v>
      </c>
      <c r="U22" s="77">
        <f t="shared" si="3"/>
        <v>0</v>
      </c>
      <c r="V22" s="84">
        <v>0</v>
      </c>
      <c r="W22" s="79">
        <f t="shared" si="4"/>
        <v>0</v>
      </c>
      <c r="X22" s="80" t="e">
        <f t="shared" si="2"/>
        <v>#DIV/0!</v>
      </c>
    </row>
    <row r="23" spans="1:24" ht="15" customHeight="1" x14ac:dyDescent="0.25">
      <c r="A23" s="112" t="s">
        <v>81</v>
      </c>
      <c r="B23" s="96" t="e">
        <f>MAX($B$22+0.5*$B$6,$B$6)</f>
        <v>#DIV/0!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</v>
      </c>
      <c r="V23" s="84">
        <v>0</v>
      </c>
      <c r="W23" s="79">
        <f t="shared" si="4"/>
        <v>0</v>
      </c>
      <c r="X23" s="80" t="e">
        <f t="shared" si="2"/>
        <v>#DIV/0!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</v>
      </c>
      <c r="V24" s="84">
        <v>0</v>
      </c>
      <c r="W24" s="79">
        <f t="shared" si="4"/>
        <v>0</v>
      </c>
      <c r="X24" s="80" t="e">
        <f t="shared" si="2"/>
        <v>#DIV/0!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 t="e">
        <f>MEDIAN($O$3:$O$252)</f>
        <v>#NUM!</v>
      </c>
      <c r="T25" s="69">
        <v>11</v>
      </c>
      <c r="U25" s="77">
        <f t="shared" si="3"/>
        <v>0</v>
      </c>
      <c r="V25" s="84">
        <v>0</v>
      </c>
      <c r="W25" s="79">
        <f t="shared" si="4"/>
        <v>0</v>
      </c>
      <c r="X25" s="80" t="e">
        <f t="shared" si="2"/>
        <v>#DIV/0!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 t="e">
        <f>AVERAGE($O$3:$O$252)</f>
        <v>#DIV/0!</v>
      </c>
      <c r="T26" s="69">
        <v>12</v>
      </c>
      <c r="U26" s="77">
        <f t="shared" si="3"/>
        <v>0</v>
      </c>
      <c r="V26" s="84">
        <v>0</v>
      </c>
      <c r="W26" s="79">
        <f t="shared" si="4"/>
        <v>0</v>
      </c>
      <c r="X26" s="80" t="e">
        <f t="shared" si="2"/>
        <v>#DIV/0!</v>
      </c>
    </row>
    <row r="27" spans="1:24" ht="15" customHeight="1" x14ac:dyDescent="0.2">
      <c r="A27" s="65" t="s">
        <v>17</v>
      </c>
      <c r="B27" s="62" t="e">
        <f>EXP($R$26)</f>
        <v>#DIV/0!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 t="e">
        <f>STDEV($O$3:$O$252)</f>
        <v>#DIV/0!</v>
      </c>
      <c r="T27" s="69">
        <v>13</v>
      </c>
      <c r="U27" s="77">
        <f t="shared" si="3"/>
        <v>0</v>
      </c>
      <c r="V27" s="84">
        <v>0</v>
      </c>
      <c r="W27" s="79">
        <f t="shared" si="4"/>
        <v>0</v>
      </c>
      <c r="X27" s="80" t="e">
        <f t="shared" si="2"/>
        <v>#DIV/0!</v>
      </c>
    </row>
    <row r="28" spans="1:24" ht="15" customHeight="1" x14ac:dyDescent="0.2">
      <c r="A28" s="65" t="s">
        <v>92</v>
      </c>
      <c r="B28" s="24" t="e">
        <f>((NORMINV(0.83,$R$26,$R$27)-$R25)-($R$25-NORMINV(0.17,$R$26,$R$27)))/(NORMINV(0.83,$R$26,$R$27)-NORMINV(0.17,$R$26,$R$27))</f>
        <v>#DIV/0!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 t="e">
        <f>NORMINV(0.025,$R$26,$R$27)</f>
        <v>#DIV/0!</v>
      </c>
      <c r="T28" s="69">
        <v>14</v>
      </c>
      <c r="U28" s="77">
        <f t="shared" si="3"/>
        <v>0</v>
      </c>
      <c r="V28" s="84">
        <v>0</v>
      </c>
      <c r="W28" s="79">
        <f t="shared" si="4"/>
        <v>0</v>
      </c>
      <c r="X28" s="80" t="e">
        <f t="shared" si="2"/>
        <v>#DIV/0!</v>
      </c>
    </row>
    <row r="29" spans="1:24" ht="15" customHeight="1" x14ac:dyDescent="0.2">
      <c r="A29" s="65" t="s">
        <v>25</v>
      </c>
      <c r="B29" s="62" t="e">
        <f>IF(ABS(($R26-$R$25)/$R$26)&lt;=0.1,"gut",IF(ABS(($R$26-$R$25)/$R$26)&lt;=0.2,"mäßig","schlecht"))</f>
        <v>#DIV/0!</v>
      </c>
      <c r="C29" s="62"/>
      <c r="M29" s="56"/>
      <c r="N29" s="57"/>
      <c r="O29" s="58" t="b">
        <f t="shared" si="0"/>
        <v>0</v>
      </c>
      <c r="Q29" s="75" t="s">
        <v>107</v>
      </c>
      <c r="R29" s="75" t="e">
        <f>NORMINV(0.01,$R$26,$R$27)</f>
        <v>#DIV/0!</v>
      </c>
      <c r="T29" s="69">
        <v>15</v>
      </c>
      <c r="U29" s="77">
        <f t="shared" si="3"/>
        <v>0</v>
      </c>
      <c r="V29" s="84">
        <v>0</v>
      </c>
      <c r="W29" s="79">
        <f t="shared" si="4"/>
        <v>0</v>
      </c>
      <c r="X29" s="80" t="e">
        <f t="shared" si="2"/>
        <v>#DIV/0!</v>
      </c>
    </row>
    <row r="30" spans="1:24" ht="15" customHeight="1" x14ac:dyDescent="0.2">
      <c r="A30" s="65" t="s">
        <v>44</v>
      </c>
      <c r="B30" s="62" t="e">
        <f>IF(((MAX($N$3:$N$252)-MIN($O$3:$O$252))/$R$27)&gt;INDEX(XX!$B$4:$B$150,$B$9-3),"ja","nein")</f>
        <v>#DIV/0!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 t="e">
        <f>NORMINV(0.95,$R$26,$R$27)</f>
        <v>#DIV/0!</v>
      </c>
      <c r="T30" s="69">
        <v>16</v>
      </c>
      <c r="U30" s="77">
        <f t="shared" si="3"/>
        <v>0</v>
      </c>
      <c r="V30" s="84">
        <v>0</v>
      </c>
      <c r="W30" s="79">
        <f t="shared" si="4"/>
        <v>0</v>
      </c>
      <c r="X30" s="80" t="e">
        <f t="shared" si="2"/>
        <v>#DIV/0!</v>
      </c>
    </row>
    <row r="31" spans="1:24" ht="15" customHeight="1" x14ac:dyDescent="0.2">
      <c r="A31" s="65" t="s">
        <v>98</v>
      </c>
      <c r="B31" s="62" t="e">
        <f>EXP($R30)-$B$26</f>
        <v>#DIV/0!</v>
      </c>
      <c r="C31" s="62" t="e">
        <f>NORMINV(0.025,$R$26,$R$27)</f>
        <v>#DIV/0!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 t="e">
        <f>NORMINV(0.98,$R$26,$R$27)</f>
        <v>#DIV/0!</v>
      </c>
      <c r="T31" s="69">
        <v>17</v>
      </c>
      <c r="U31" s="77">
        <f t="shared" si="3"/>
        <v>0</v>
      </c>
      <c r="V31" s="84">
        <v>0</v>
      </c>
      <c r="W31" s="79">
        <f t="shared" si="4"/>
        <v>0</v>
      </c>
      <c r="X31" s="80" t="e">
        <f t="shared" si="2"/>
        <v>#DIV/0!</v>
      </c>
    </row>
    <row r="32" spans="1:24" ht="15" customHeight="1" x14ac:dyDescent="0.2">
      <c r="A32" s="65" t="s">
        <v>86</v>
      </c>
      <c r="B32" s="62" t="e">
        <f>EXP($R$31)-$B$26</f>
        <v>#DIV/0!</v>
      </c>
      <c r="C32" s="62" t="e">
        <f>NORMINV(0.01,$R$26,$R$27)</f>
        <v>#DIV/0!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</v>
      </c>
      <c r="V32" s="84">
        <v>0</v>
      </c>
      <c r="W32" s="79">
        <f t="shared" si="4"/>
        <v>0</v>
      </c>
      <c r="X32" s="80" t="e">
        <f t="shared" si="2"/>
        <v>#DIV/0!</v>
      </c>
    </row>
    <row r="33" spans="1:24" ht="15" customHeight="1" x14ac:dyDescent="0.25">
      <c r="A33" s="112" t="s">
        <v>81</v>
      </c>
      <c r="B33" s="113" t="e">
        <f>MAX($B$32+0.5*$B$6,B6)</f>
        <v>#DIV/0!</v>
      </c>
      <c r="M33" s="56"/>
      <c r="N33" s="57"/>
      <c r="O33" s="58" t="b">
        <f t="shared" si="0"/>
        <v>0</v>
      </c>
      <c r="T33" s="69">
        <v>19</v>
      </c>
      <c r="U33" s="77">
        <f t="shared" si="3"/>
        <v>0</v>
      </c>
      <c r="V33" s="84">
        <v>0</v>
      </c>
      <c r="W33" s="79">
        <f t="shared" si="4"/>
        <v>0</v>
      </c>
      <c r="X33" s="80" t="e">
        <f t="shared" si="2"/>
        <v>#DIV/0!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</v>
      </c>
      <c r="V34" s="84">
        <v>0</v>
      </c>
      <c r="W34" s="79">
        <f t="shared" si="4"/>
        <v>0</v>
      </c>
      <c r="X34" s="80" t="e">
        <f t="shared" si="2"/>
        <v>#DIV/0!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</v>
      </c>
      <c r="V35" s="84">
        <v>0</v>
      </c>
      <c r="W35" s="79">
        <f t="shared" si="4"/>
        <v>0</v>
      </c>
      <c r="X35" s="80" t="e">
        <f t="shared" si="2"/>
        <v>#DIV/0!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</v>
      </c>
      <c r="V36" s="84">
        <v>0</v>
      </c>
      <c r="W36" s="79">
        <f t="shared" si="4"/>
        <v>0</v>
      </c>
      <c r="X36" s="80" t="e">
        <f t="shared" si="2"/>
        <v>#DIV/0!</v>
      </c>
    </row>
    <row r="37" spans="1:24" ht="15.75" x14ac:dyDescent="0.25">
      <c r="A37" s="103" t="s">
        <v>8</v>
      </c>
      <c r="B37" s="52">
        <f>1.05*B11</f>
        <v>0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</v>
      </c>
      <c r="V37" s="84">
        <v>0</v>
      </c>
      <c r="W37" s="79">
        <f t="shared" si="4"/>
        <v>0</v>
      </c>
      <c r="X37" s="80" t="e">
        <f t="shared" si="2"/>
        <v>#DIV/0!</v>
      </c>
    </row>
    <row r="38" spans="1:24" ht="15" x14ac:dyDescent="0.2">
      <c r="A38" s="104" t="s">
        <v>19</v>
      </c>
      <c r="B38" s="53">
        <f>($B$37-$B$36)/25</f>
        <v>0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</v>
      </c>
      <c r="V38" s="84">
        <v>0</v>
      </c>
      <c r="W38" s="79">
        <f t="shared" si="4"/>
        <v>0</v>
      </c>
      <c r="X38" s="80" t="e">
        <f t="shared" si="2"/>
        <v>#DIV/0!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</v>
      </c>
      <c r="V39" s="84">
        <v>0</v>
      </c>
      <c r="W39" s="79">
        <f t="shared" si="4"/>
        <v>0</v>
      </c>
      <c r="X39" s="80" t="e">
        <f t="shared" si="2"/>
        <v>#DIV/0!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 t="e">
        <f t="shared" si="2"/>
        <v>#DIV/0!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0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0</v>
      </c>
      <c r="U47" s="28" t="e">
        <f>$X$15</f>
        <v>#DIV/0!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</v>
      </c>
      <c r="U48" s="28" t="e">
        <f>$X$15</f>
        <v>#DIV/0!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</v>
      </c>
      <c r="U49" s="28" t="e">
        <f>$X$16</f>
        <v>#DIV/0!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</v>
      </c>
      <c r="U50" s="28" t="e">
        <f>$X$16</f>
        <v>#DIV/0!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</v>
      </c>
      <c r="U51" s="28" t="e">
        <f>$X$17</f>
        <v>#DIV/0!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</v>
      </c>
      <c r="U52" s="28" t="e">
        <f>$X$17</f>
        <v>#DIV/0!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</v>
      </c>
      <c r="U53" s="28" t="e">
        <f>$X$18</f>
        <v>#DIV/0!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</v>
      </c>
      <c r="U54" s="28" t="e">
        <f>$X$18</f>
        <v>#DIV/0!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</v>
      </c>
      <c r="U55" s="28" t="e">
        <f>$X$19</f>
        <v>#DIV/0!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</v>
      </c>
      <c r="U56" s="28" t="e">
        <f>$X$19</f>
        <v>#DIV/0!</v>
      </c>
    </row>
    <row r="57" spans="5:21" ht="15" x14ac:dyDescent="0.2">
      <c r="E57" s="70">
        <v>1</v>
      </c>
      <c r="F57" s="74" t="e">
        <f>$B$21</f>
        <v>#DIV/0!</v>
      </c>
      <c r="G57" s="74" t="e">
        <f>$C$21</f>
        <v>#DIV/0!</v>
      </c>
      <c r="H57" s="74" t="e">
        <f>$B$22</f>
        <v>#DIV/0!</v>
      </c>
      <c r="I57" s="74" t="e">
        <f>$C$22</f>
        <v>#DIV/0!</v>
      </c>
      <c r="J57" s="74" t="e">
        <f>$B$31</f>
        <v>#DIV/0!</v>
      </c>
      <c r="K57" s="74" t="e">
        <f>$B$32</f>
        <v>#DIV/0!</v>
      </c>
      <c r="M57" s="56"/>
      <c r="N57" s="57"/>
      <c r="O57" s="58" t="b">
        <f t="shared" si="0"/>
        <v>0</v>
      </c>
      <c r="T57" s="85">
        <f>$U$19+$B$38/100</f>
        <v>0</v>
      </c>
      <c r="U57" s="28" t="e">
        <f>$X$20</f>
        <v>#DIV/0!</v>
      </c>
    </row>
    <row r="58" spans="5:21" ht="15" x14ac:dyDescent="0.2">
      <c r="E58" s="70">
        <v>73415</v>
      </c>
      <c r="F58" s="74" t="e">
        <f>$B$21</f>
        <v>#DIV/0!</v>
      </c>
      <c r="G58" s="74" t="e">
        <f>$C$21</f>
        <v>#DIV/0!</v>
      </c>
      <c r="H58" s="74" t="e">
        <f>$B$22</f>
        <v>#DIV/0!</v>
      </c>
      <c r="I58" s="74" t="e">
        <f>$C$22</f>
        <v>#DIV/0!</v>
      </c>
      <c r="J58" s="74" t="e">
        <f>$B$31</f>
        <v>#DIV/0!</v>
      </c>
      <c r="K58" s="74" t="e">
        <f>$B$32</f>
        <v>#DIV/0!</v>
      </c>
      <c r="M58" s="56"/>
      <c r="N58" s="57"/>
      <c r="O58" s="58" t="b">
        <f t="shared" si="0"/>
        <v>0</v>
      </c>
      <c r="T58" s="85">
        <f>$U$20-$B$38/100</f>
        <v>0</v>
      </c>
      <c r="U58" s="28" t="e">
        <f>$X$20</f>
        <v>#DIV/0!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</v>
      </c>
      <c r="U59" s="28" t="e">
        <f>$X$21</f>
        <v>#DIV/0!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</v>
      </c>
      <c r="U60" s="28" t="e">
        <f>$X$21</f>
        <v>#DIV/0!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</v>
      </c>
      <c r="U61" s="28" t="e">
        <f>$X$22</f>
        <v>#DIV/0!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</v>
      </c>
      <c r="U62" s="28" t="e">
        <f>$X$22</f>
        <v>#DIV/0!</v>
      </c>
    </row>
    <row r="63" spans="5:21" ht="15" x14ac:dyDescent="0.2">
      <c r="E63" s="72">
        <v>-5</v>
      </c>
      <c r="F63" s="73" t="e">
        <f>$B$16+$E63*$B$17</f>
        <v>#DIV/0!</v>
      </c>
      <c r="G63" s="73" t="e">
        <f>NORMDIST($F63,$B$16,$B$17,FALSE)</f>
        <v>#DIV/0!</v>
      </c>
      <c r="H63" s="73" t="e">
        <f>EXP($R$26+$E63*$R$27)</f>
        <v>#DIV/0!</v>
      </c>
      <c r="I63" s="73" t="e">
        <f t="shared" ref="I63:I113" si="5">H63-$B$26</f>
        <v>#DIV/0!</v>
      </c>
      <c r="J63" s="73" t="e">
        <f>1/$H63/SQRT(2*PI())/$R$27*EXP(-POWER(LN($H63)-$R$26,2)/2/POWER($R$27,2))</f>
        <v>#DIV/0!</v>
      </c>
      <c r="K63" s="73" t="e">
        <f>LOGNORMDIST($H63,$R$26,$R$27)</f>
        <v>#DIV/0!</v>
      </c>
      <c r="M63" s="56"/>
      <c r="N63" s="57"/>
      <c r="O63" s="58" t="b">
        <f t="shared" si="0"/>
        <v>0</v>
      </c>
      <c r="T63" s="85">
        <f>$U$22+$B$38/100</f>
        <v>0</v>
      </c>
      <c r="U63" s="28" t="e">
        <f>$X$23</f>
        <v>#DIV/0!</v>
      </c>
    </row>
    <row r="64" spans="5:21" ht="15" x14ac:dyDescent="0.2">
      <c r="E64" s="72">
        <v>-4.8</v>
      </c>
      <c r="F64" s="73" t="e">
        <f t="shared" ref="F64:F113" si="6">$B$16+$E64*$B$17</f>
        <v>#DIV/0!</v>
      </c>
      <c r="G64" s="73" t="e">
        <f t="shared" ref="G64:G113" si="7">NORMDIST($F64,$B$16,$B$17,FALSE)</f>
        <v>#DIV/0!</v>
      </c>
      <c r="H64" s="73" t="e">
        <f t="shared" ref="H64:H113" si="8">EXP($R$26+$E64*$R$27)</f>
        <v>#DIV/0!</v>
      </c>
      <c r="I64" s="73" t="e">
        <f t="shared" si="5"/>
        <v>#DIV/0!</v>
      </c>
      <c r="J64" s="73" t="e">
        <f t="shared" ref="J64:J113" si="9">1/$H64/SQRT(2*PI())/$R$27*EXP(-POWER(LN($H64)-$R$26,2)/2/POWER($R$27,2))</f>
        <v>#DIV/0!</v>
      </c>
      <c r="K64" s="73" t="e">
        <f t="shared" ref="K64:K113" si="10">LOGNORMDIST($H64,$R$26,$R$27)</f>
        <v>#DIV/0!</v>
      </c>
      <c r="M64" s="56"/>
      <c r="N64" s="57"/>
      <c r="O64" s="58" t="b">
        <f t="shared" si="0"/>
        <v>0</v>
      </c>
      <c r="T64" s="85">
        <f>$U$23-$B$38/100</f>
        <v>0</v>
      </c>
      <c r="U64" s="28" t="e">
        <f>$X$23</f>
        <v>#DIV/0!</v>
      </c>
    </row>
    <row r="65" spans="5:21" ht="15" x14ac:dyDescent="0.2">
      <c r="E65" s="72">
        <v>-4.5999999999999996</v>
      </c>
      <c r="F65" s="73" t="e">
        <f t="shared" si="6"/>
        <v>#DIV/0!</v>
      </c>
      <c r="G65" s="73" t="e">
        <f t="shared" si="7"/>
        <v>#DIV/0!</v>
      </c>
      <c r="H65" s="73" t="e">
        <f t="shared" si="8"/>
        <v>#DIV/0!</v>
      </c>
      <c r="I65" s="73" t="e">
        <f t="shared" si="5"/>
        <v>#DIV/0!</v>
      </c>
      <c r="J65" s="73" t="e">
        <f t="shared" si="9"/>
        <v>#DIV/0!</v>
      </c>
      <c r="K65" s="73" t="e">
        <f t="shared" si="10"/>
        <v>#DIV/0!</v>
      </c>
      <c r="M65" s="56"/>
      <c r="N65" s="57"/>
      <c r="O65" s="58" t="b">
        <f t="shared" si="0"/>
        <v>0</v>
      </c>
      <c r="T65" s="85">
        <f>$U$23+$B$38/100</f>
        <v>0</v>
      </c>
      <c r="U65" s="28" t="e">
        <f>$X$24</f>
        <v>#DIV/0!</v>
      </c>
    </row>
    <row r="66" spans="5:21" ht="15" x14ac:dyDescent="0.2">
      <c r="E66" s="72">
        <v>-4.4000000000000004</v>
      </c>
      <c r="F66" s="73" t="e">
        <f t="shared" si="6"/>
        <v>#DIV/0!</v>
      </c>
      <c r="G66" s="73" t="e">
        <f t="shared" si="7"/>
        <v>#DIV/0!</v>
      </c>
      <c r="H66" s="73" t="e">
        <f t="shared" si="8"/>
        <v>#DIV/0!</v>
      </c>
      <c r="I66" s="73" t="e">
        <f t="shared" si="5"/>
        <v>#DIV/0!</v>
      </c>
      <c r="J66" s="73" t="e">
        <f t="shared" si="9"/>
        <v>#DIV/0!</v>
      </c>
      <c r="K66" s="73" t="e">
        <f t="shared" si="10"/>
        <v>#DIV/0!</v>
      </c>
      <c r="M66" s="56"/>
      <c r="N66" s="57"/>
      <c r="O66" s="58" t="b">
        <f t="shared" si="0"/>
        <v>0</v>
      </c>
      <c r="T66" s="85">
        <f>$U$24-$B$38/100</f>
        <v>0</v>
      </c>
      <c r="U66" s="28" t="e">
        <f>$X$24</f>
        <v>#DIV/0!</v>
      </c>
    </row>
    <row r="67" spans="5:21" ht="15" x14ac:dyDescent="0.2">
      <c r="E67" s="72">
        <v>-4.2</v>
      </c>
      <c r="F67" s="73" t="e">
        <f t="shared" si="6"/>
        <v>#DIV/0!</v>
      </c>
      <c r="G67" s="73" t="e">
        <f t="shared" si="7"/>
        <v>#DIV/0!</v>
      </c>
      <c r="H67" s="73" t="e">
        <f t="shared" si="8"/>
        <v>#DIV/0!</v>
      </c>
      <c r="I67" s="73" t="e">
        <f t="shared" si="5"/>
        <v>#DIV/0!</v>
      </c>
      <c r="J67" s="73" t="e">
        <f t="shared" si="9"/>
        <v>#DIV/0!</v>
      </c>
      <c r="K67" s="73" t="e">
        <f t="shared" si="10"/>
        <v>#DIV/0!</v>
      </c>
      <c r="M67" s="56"/>
      <c r="N67" s="57"/>
      <c r="O67" s="58" t="b">
        <f t="shared" ref="O67:O130" si="11">IF($N67&gt;0,LN($N67+$B$26))</f>
        <v>0</v>
      </c>
      <c r="T67" s="85">
        <f>$U$24+$B$38/100</f>
        <v>0</v>
      </c>
      <c r="U67" s="28" t="e">
        <f>$X$25</f>
        <v>#DIV/0!</v>
      </c>
    </row>
    <row r="68" spans="5:21" ht="15" x14ac:dyDescent="0.2">
      <c r="E68" s="72">
        <v>-4</v>
      </c>
      <c r="F68" s="73" t="e">
        <f t="shared" si="6"/>
        <v>#DIV/0!</v>
      </c>
      <c r="G68" s="73" t="e">
        <f t="shared" si="7"/>
        <v>#DIV/0!</v>
      </c>
      <c r="H68" s="73" t="e">
        <f t="shared" si="8"/>
        <v>#DIV/0!</v>
      </c>
      <c r="I68" s="73" t="e">
        <f t="shared" si="5"/>
        <v>#DIV/0!</v>
      </c>
      <c r="J68" s="73" t="e">
        <f t="shared" si="9"/>
        <v>#DIV/0!</v>
      </c>
      <c r="K68" s="73" t="e">
        <f t="shared" si="10"/>
        <v>#DIV/0!</v>
      </c>
      <c r="M68" s="56"/>
      <c r="N68" s="57"/>
      <c r="O68" s="58" t="b">
        <f t="shared" si="11"/>
        <v>0</v>
      </c>
      <c r="T68" s="85">
        <f>$U$25-$B$38/100</f>
        <v>0</v>
      </c>
      <c r="U68" s="28" t="e">
        <f>$X$25</f>
        <v>#DIV/0!</v>
      </c>
    </row>
    <row r="69" spans="5:21" ht="15" x14ac:dyDescent="0.2">
      <c r="E69" s="72">
        <v>-3.8</v>
      </c>
      <c r="F69" s="73" t="e">
        <f t="shared" si="6"/>
        <v>#DIV/0!</v>
      </c>
      <c r="G69" s="73" t="e">
        <f t="shared" si="7"/>
        <v>#DIV/0!</v>
      </c>
      <c r="H69" s="73" t="e">
        <f t="shared" si="8"/>
        <v>#DIV/0!</v>
      </c>
      <c r="I69" s="73" t="e">
        <f t="shared" si="5"/>
        <v>#DIV/0!</v>
      </c>
      <c r="J69" s="73" t="e">
        <f t="shared" si="9"/>
        <v>#DIV/0!</v>
      </c>
      <c r="K69" s="73" t="e">
        <f t="shared" si="10"/>
        <v>#DIV/0!</v>
      </c>
      <c r="M69" s="56"/>
      <c r="N69" s="57"/>
      <c r="O69" s="58" t="b">
        <f t="shared" si="11"/>
        <v>0</v>
      </c>
      <c r="T69" s="85">
        <f>$U$25+$B$38/100</f>
        <v>0</v>
      </c>
      <c r="U69" s="28" t="e">
        <f>$X$26</f>
        <v>#DIV/0!</v>
      </c>
    </row>
    <row r="70" spans="5:21" ht="15" x14ac:dyDescent="0.2">
      <c r="E70" s="72">
        <v>-3.6</v>
      </c>
      <c r="F70" s="73" t="e">
        <f t="shared" si="6"/>
        <v>#DIV/0!</v>
      </c>
      <c r="G70" s="73" t="e">
        <f t="shared" si="7"/>
        <v>#DIV/0!</v>
      </c>
      <c r="H70" s="73" t="e">
        <f t="shared" si="8"/>
        <v>#DIV/0!</v>
      </c>
      <c r="I70" s="73" t="e">
        <f t="shared" si="5"/>
        <v>#DIV/0!</v>
      </c>
      <c r="J70" s="73" t="e">
        <f t="shared" si="9"/>
        <v>#DIV/0!</v>
      </c>
      <c r="K70" s="73" t="e">
        <f t="shared" si="10"/>
        <v>#DIV/0!</v>
      </c>
      <c r="M70" s="56"/>
      <c r="N70" s="57"/>
      <c r="O70" s="58" t="b">
        <f t="shared" si="11"/>
        <v>0</v>
      </c>
      <c r="T70" s="85">
        <f>$U$26-$B$38/100</f>
        <v>0</v>
      </c>
      <c r="U70" s="28" t="e">
        <f>$X$26</f>
        <v>#DIV/0!</v>
      </c>
    </row>
    <row r="71" spans="5:21" ht="15" x14ac:dyDescent="0.2">
      <c r="E71" s="72">
        <v>-3.4</v>
      </c>
      <c r="F71" s="73" t="e">
        <f t="shared" si="6"/>
        <v>#DIV/0!</v>
      </c>
      <c r="G71" s="73" t="e">
        <f t="shared" si="7"/>
        <v>#DIV/0!</v>
      </c>
      <c r="H71" s="73" t="e">
        <f t="shared" si="8"/>
        <v>#DIV/0!</v>
      </c>
      <c r="I71" s="73" t="e">
        <f t="shared" si="5"/>
        <v>#DIV/0!</v>
      </c>
      <c r="J71" s="73" t="e">
        <f t="shared" si="9"/>
        <v>#DIV/0!</v>
      </c>
      <c r="K71" s="73" t="e">
        <f t="shared" si="10"/>
        <v>#DIV/0!</v>
      </c>
      <c r="M71" s="56"/>
      <c r="N71" s="57"/>
      <c r="O71" s="58" t="b">
        <f t="shared" si="11"/>
        <v>0</v>
      </c>
      <c r="T71" s="85">
        <f>$U$26+$B$38/100</f>
        <v>0</v>
      </c>
      <c r="U71" s="28" t="e">
        <f>$X$27</f>
        <v>#DIV/0!</v>
      </c>
    </row>
    <row r="72" spans="5:21" ht="15" x14ac:dyDescent="0.2">
      <c r="E72" s="72">
        <v>-3.2</v>
      </c>
      <c r="F72" s="73" t="e">
        <f t="shared" si="6"/>
        <v>#DIV/0!</v>
      </c>
      <c r="G72" s="73" t="e">
        <f t="shared" si="7"/>
        <v>#DIV/0!</v>
      </c>
      <c r="H72" s="73" t="e">
        <f t="shared" si="8"/>
        <v>#DIV/0!</v>
      </c>
      <c r="I72" s="73" t="e">
        <f t="shared" si="5"/>
        <v>#DIV/0!</v>
      </c>
      <c r="J72" s="73" t="e">
        <f t="shared" si="9"/>
        <v>#DIV/0!</v>
      </c>
      <c r="K72" s="73" t="e">
        <f t="shared" si="10"/>
        <v>#DIV/0!</v>
      </c>
      <c r="M72" s="56"/>
      <c r="N72" s="57"/>
      <c r="O72" s="58" t="b">
        <f t="shared" si="11"/>
        <v>0</v>
      </c>
      <c r="T72" s="85">
        <f>$U$27-$B$38/100</f>
        <v>0</v>
      </c>
      <c r="U72" s="28" t="e">
        <f>$X$27</f>
        <v>#DIV/0!</v>
      </c>
    </row>
    <row r="73" spans="5:21" ht="15" x14ac:dyDescent="0.2">
      <c r="E73" s="72">
        <v>-3</v>
      </c>
      <c r="F73" s="73" t="e">
        <f t="shared" si="6"/>
        <v>#DIV/0!</v>
      </c>
      <c r="G73" s="73" t="e">
        <f t="shared" si="7"/>
        <v>#DIV/0!</v>
      </c>
      <c r="H73" s="73" t="e">
        <f t="shared" si="8"/>
        <v>#DIV/0!</v>
      </c>
      <c r="I73" s="73" t="e">
        <f t="shared" si="5"/>
        <v>#DIV/0!</v>
      </c>
      <c r="J73" s="73" t="e">
        <f t="shared" si="9"/>
        <v>#DIV/0!</v>
      </c>
      <c r="K73" s="73" t="e">
        <f t="shared" si="10"/>
        <v>#DIV/0!</v>
      </c>
      <c r="M73" s="56"/>
      <c r="N73" s="57"/>
      <c r="O73" s="58" t="b">
        <f t="shared" si="11"/>
        <v>0</v>
      </c>
      <c r="T73" s="85">
        <f>$U$27+$B$38/100</f>
        <v>0</v>
      </c>
      <c r="U73" s="28" t="e">
        <f>$X$28</f>
        <v>#DIV/0!</v>
      </c>
    </row>
    <row r="74" spans="5:21" ht="15" x14ac:dyDescent="0.2">
      <c r="E74" s="72">
        <v>-2.8</v>
      </c>
      <c r="F74" s="73" t="e">
        <f t="shared" si="6"/>
        <v>#DIV/0!</v>
      </c>
      <c r="G74" s="73" t="e">
        <f t="shared" si="7"/>
        <v>#DIV/0!</v>
      </c>
      <c r="H74" s="73" t="e">
        <f t="shared" si="8"/>
        <v>#DIV/0!</v>
      </c>
      <c r="I74" s="73" t="e">
        <f t="shared" si="5"/>
        <v>#DIV/0!</v>
      </c>
      <c r="J74" s="73" t="e">
        <f t="shared" si="9"/>
        <v>#DIV/0!</v>
      </c>
      <c r="K74" s="73" t="e">
        <f t="shared" si="10"/>
        <v>#DIV/0!</v>
      </c>
      <c r="M74" s="56"/>
      <c r="N74" s="57"/>
      <c r="O74" s="58" t="b">
        <f t="shared" si="11"/>
        <v>0</v>
      </c>
      <c r="T74" s="85">
        <f>$U$28-$B$38/100</f>
        <v>0</v>
      </c>
      <c r="U74" s="28" t="e">
        <f>$X$28</f>
        <v>#DIV/0!</v>
      </c>
    </row>
    <row r="75" spans="5:21" ht="15" x14ac:dyDescent="0.2">
      <c r="E75" s="72">
        <v>-2.6</v>
      </c>
      <c r="F75" s="73" t="e">
        <f t="shared" si="6"/>
        <v>#DIV/0!</v>
      </c>
      <c r="G75" s="73" t="e">
        <f t="shared" si="7"/>
        <v>#DIV/0!</v>
      </c>
      <c r="H75" s="73" t="e">
        <f t="shared" si="8"/>
        <v>#DIV/0!</v>
      </c>
      <c r="I75" s="73" t="e">
        <f t="shared" si="5"/>
        <v>#DIV/0!</v>
      </c>
      <c r="J75" s="73" t="e">
        <f t="shared" si="9"/>
        <v>#DIV/0!</v>
      </c>
      <c r="K75" s="73" t="e">
        <f t="shared" si="10"/>
        <v>#DIV/0!</v>
      </c>
      <c r="M75" s="56"/>
      <c r="N75" s="57"/>
      <c r="O75" s="58" t="b">
        <f t="shared" si="11"/>
        <v>0</v>
      </c>
      <c r="T75" s="85">
        <f>$U$28+$B$38/100</f>
        <v>0</v>
      </c>
      <c r="U75" s="28" t="e">
        <f>$X$29</f>
        <v>#DIV/0!</v>
      </c>
    </row>
    <row r="76" spans="5:21" ht="15" x14ac:dyDescent="0.2">
      <c r="E76" s="72">
        <v>-2.4</v>
      </c>
      <c r="F76" s="73" t="e">
        <f t="shared" si="6"/>
        <v>#DIV/0!</v>
      </c>
      <c r="G76" s="73" t="e">
        <f t="shared" si="7"/>
        <v>#DIV/0!</v>
      </c>
      <c r="H76" s="73" t="e">
        <f t="shared" si="8"/>
        <v>#DIV/0!</v>
      </c>
      <c r="I76" s="73" t="e">
        <f t="shared" si="5"/>
        <v>#DIV/0!</v>
      </c>
      <c r="J76" s="73" t="e">
        <f t="shared" si="9"/>
        <v>#DIV/0!</v>
      </c>
      <c r="K76" s="73" t="e">
        <f t="shared" si="10"/>
        <v>#DIV/0!</v>
      </c>
      <c r="M76" s="56"/>
      <c r="N76" s="57"/>
      <c r="O76" s="58" t="b">
        <f t="shared" si="11"/>
        <v>0</v>
      </c>
      <c r="T76" s="85">
        <f>$U$29-$B$38/100</f>
        <v>0</v>
      </c>
      <c r="U76" s="28" t="e">
        <f>$X$29</f>
        <v>#DIV/0!</v>
      </c>
    </row>
    <row r="77" spans="5:21" ht="15" x14ac:dyDescent="0.2">
      <c r="E77" s="72">
        <v>-2.2000000000000002</v>
      </c>
      <c r="F77" s="73" t="e">
        <f t="shared" si="6"/>
        <v>#DIV/0!</v>
      </c>
      <c r="G77" s="73" t="e">
        <f t="shared" si="7"/>
        <v>#DIV/0!</v>
      </c>
      <c r="H77" s="73" t="e">
        <f t="shared" si="8"/>
        <v>#DIV/0!</v>
      </c>
      <c r="I77" s="73" t="e">
        <f t="shared" si="5"/>
        <v>#DIV/0!</v>
      </c>
      <c r="J77" s="73" t="e">
        <f t="shared" si="9"/>
        <v>#DIV/0!</v>
      </c>
      <c r="K77" s="73" t="e">
        <f t="shared" si="10"/>
        <v>#DIV/0!</v>
      </c>
      <c r="L77" s="16"/>
      <c r="M77" s="56"/>
      <c r="N77" s="57"/>
      <c r="O77" s="58" t="b">
        <f t="shared" si="11"/>
        <v>0</v>
      </c>
      <c r="T77" s="85">
        <f>$U$29+$B$38/100</f>
        <v>0</v>
      </c>
      <c r="U77" s="28" t="e">
        <f>$X$30</f>
        <v>#DIV/0!</v>
      </c>
    </row>
    <row r="78" spans="5:21" ht="15" x14ac:dyDescent="0.2">
      <c r="E78" s="72">
        <v>-2</v>
      </c>
      <c r="F78" s="73" t="e">
        <f t="shared" si="6"/>
        <v>#DIV/0!</v>
      </c>
      <c r="G78" s="73" t="e">
        <f t="shared" si="7"/>
        <v>#DIV/0!</v>
      </c>
      <c r="H78" s="73" t="e">
        <f t="shared" si="8"/>
        <v>#DIV/0!</v>
      </c>
      <c r="I78" s="73" t="e">
        <f t="shared" si="5"/>
        <v>#DIV/0!</v>
      </c>
      <c r="J78" s="73" t="e">
        <f t="shared" si="9"/>
        <v>#DIV/0!</v>
      </c>
      <c r="K78" s="73" t="e">
        <f t="shared" si="10"/>
        <v>#DIV/0!</v>
      </c>
      <c r="L78" s="16"/>
      <c r="M78" s="56"/>
      <c r="N78" s="57"/>
      <c r="O78" s="58" t="b">
        <f t="shared" si="11"/>
        <v>0</v>
      </c>
      <c r="T78" s="85">
        <f>$U$30-$B$38/100</f>
        <v>0</v>
      </c>
      <c r="U78" s="28" t="e">
        <f>$X$30</f>
        <v>#DIV/0!</v>
      </c>
    </row>
    <row r="79" spans="5:21" ht="15" x14ac:dyDescent="0.2">
      <c r="E79" s="72">
        <v>-1.8</v>
      </c>
      <c r="F79" s="73" t="e">
        <f t="shared" si="6"/>
        <v>#DIV/0!</v>
      </c>
      <c r="G79" s="73" t="e">
        <f t="shared" si="7"/>
        <v>#DIV/0!</v>
      </c>
      <c r="H79" s="73" t="e">
        <f t="shared" si="8"/>
        <v>#DIV/0!</v>
      </c>
      <c r="I79" s="73" t="e">
        <f t="shared" si="5"/>
        <v>#DIV/0!</v>
      </c>
      <c r="J79" s="73" t="e">
        <f t="shared" si="9"/>
        <v>#DIV/0!</v>
      </c>
      <c r="K79" s="73" t="e">
        <f t="shared" si="10"/>
        <v>#DIV/0!</v>
      </c>
      <c r="L79" s="16"/>
      <c r="M79" s="56"/>
      <c r="N79" s="57"/>
      <c r="O79" s="58" t="b">
        <f t="shared" si="11"/>
        <v>0</v>
      </c>
      <c r="T79" s="85">
        <f>$U$30+$B$38/100</f>
        <v>0</v>
      </c>
      <c r="U79" s="28" t="e">
        <f>$X$31</f>
        <v>#DIV/0!</v>
      </c>
    </row>
    <row r="80" spans="5:21" ht="15" x14ac:dyDescent="0.2">
      <c r="E80" s="72">
        <v>-1.6</v>
      </c>
      <c r="F80" s="73" t="e">
        <f t="shared" si="6"/>
        <v>#DIV/0!</v>
      </c>
      <c r="G80" s="73" t="e">
        <f t="shared" si="7"/>
        <v>#DIV/0!</v>
      </c>
      <c r="H80" s="73" t="e">
        <f t="shared" si="8"/>
        <v>#DIV/0!</v>
      </c>
      <c r="I80" s="73" t="e">
        <f t="shared" si="5"/>
        <v>#DIV/0!</v>
      </c>
      <c r="J80" s="73" t="e">
        <f t="shared" si="9"/>
        <v>#DIV/0!</v>
      </c>
      <c r="K80" s="73" t="e">
        <f t="shared" si="10"/>
        <v>#DIV/0!</v>
      </c>
      <c r="L80" s="16"/>
      <c r="M80" s="56"/>
      <c r="N80" s="57"/>
      <c r="O80" s="58" t="b">
        <f t="shared" si="11"/>
        <v>0</v>
      </c>
      <c r="T80" s="85">
        <f>$U$31-$B$38/100</f>
        <v>0</v>
      </c>
      <c r="U80" s="28" t="e">
        <f>$X$31</f>
        <v>#DIV/0!</v>
      </c>
    </row>
    <row r="81" spans="5:21" ht="15" x14ac:dyDescent="0.2">
      <c r="E81" s="72">
        <v>-1.4</v>
      </c>
      <c r="F81" s="73" t="e">
        <f t="shared" si="6"/>
        <v>#DIV/0!</v>
      </c>
      <c r="G81" s="73" t="e">
        <f t="shared" si="7"/>
        <v>#DIV/0!</v>
      </c>
      <c r="H81" s="73" t="e">
        <f t="shared" si="8"/>
        <v>#DIV/0!</v>
      </c>
      <c r="I81" s="73" t="e">
        <f t="shared" si="5"/>
        <v>#DIV/0!</v>
      </c>
      <c r="J81" s="73" t="e">
        <f t="shared" si="9"/>
        <v>#DIV/0!</v>
      </c>
      <c r="K81" s="73" t="e">
        <f t="shared" si="10"/>
        <v>#DIV/0!</v>
      </c>
      <c r="L81" s="14"/>
      <c r="M81" s="56"/>
      <c r="N81" s="57"/>
      <c r="O81" s="58" t="b">
        <f t="shared" si="11"/>
        <v>0</v>
      </c>
      <c r="T81" s="85">
        <f>$U$31+$B$38/100</f>
        <v>0</v>
      </c>
      <c r="U81" s="28" t="e">
        <f>$X$32</f>
        <v>#DIV/0!</v>
      </c>
    </row>
    <row r="82" spans="5:21" ht="15" x14ac:dyDescent="0.2">
      <c r="E82" s="72">
        <v>-1.2</v>
      </c>
      <c r="F82" s="73" t="e">
        <f t="shared" si="6"/>
        <v>#DIV/0!</v>
      </c>
      <c r="G82" s="73" t="e">
        <f t="shared" si="7"/>
        <v>#DIV/0!</v>
      </c>
      <c r="H82" s="73" t="e">
        <f t="shared" si="8"/>
        <v>#DIV/0!</v>
      </c>
      <c r="I82" s="73" t="e">
        <f t="shared" si="5"/>
        <v>#DIV/0!</v>
      </c>
      <c r="J82" s="73" t="e">
        <f t="shared" si="9"/>
        <v>#DIV/0!</v>
      </c>
      <c r="K82" s="73" t="e">
        <f t="shared" si="10"/>
        <v>#DIV/0!</v>
      </c>
      <c r="L82" s="14"/>
      <c r="M82" s="56"/>
      <c r="N82" s="57"/>
      <c r="O82" s="58" t="b">
        <f t="shared" si="11"/>
        <v>0</v>
      </c>
      <c r="T82" s="85">
        <f>$U$32-$B$38/100</f>
        <v>0</v>
      </c>
      <c r="U82" s="28" t="e">
        <f>$X$32</f>
        <v>#DIV/0!</v>
      </c>
    </row>
    <row r="83" spans="5:21" ht="15" x14ac:dyDescent="0.2">
      <c r="E83" s="72">
        <v>-1</v>
      </c>
      <c r="F83" s="73" t="e">
        <f t="shared" si="6"/>
        <v>#DIV/0!</v>
      </c>
      <c r="G83" s="73" t="e">
        <f t="shared" si="7"/>
        <v>#DIV/0!</v>
      </c>
      <c r="H83" s="73" t="e">
        <f t="shared" si="8"/>
        <v>#DIV/0!</v>
      </c>
      <c r="I83" s="73" t="e">
        <f t="shared" si="5"/>
        <v>#DIV/0!</v>
      </c>
      <c r="J83" s="73" t="e">
        <f t="shared" si="9"/>
        <v>#DIV/0!</v>
      </c>
      <c r="K83" s="73" t="e">
        <f t="shared" si="10"/>
        <v>#DIV/0!</v>
      </c>
      <c r="L83" s="14"/>
      <c r="M83" s="56"/>
      <c r="N83" s="57"/>
      <c r="O83" s="58" t="b">
        <f t="shared" si="11"/>
        <v>0</v>
      </c>
      <c r="T83" s="85">
        <f>$U$32+$B$38/100</f>
        <v>0</v>
      </c>
      <c r="U83" s="28" t="e">
        <f>$X$33</f>
        <v>#DIV/0!</v>
      </c>
    </row>
    <row r="84" spans="5:21" ht="15" x14ac:dyDescent="0.2">
      <c r="E84" s="72">
        <v>-0.8</v>
      </c>
      <c r="F84" s="73" t="e">
        <f t="shared" si="6"/>
        <v>#DIV/0!</v>
      </c>
      <c r="G84" s="73" t="e">
        <f t="shared" si="7"/>
        <v>#DIV/0!</v>
      </c>
      <c r="H84" s="73" t="e">
        <f t="shared" si="8"/>
        <v>#DIV/0!</v>
      </c>
      <c r="I84" s="73" t="e">
        <f t="shared" si="5"/>
        <v>#DIV/0!</v>
      </c>
      <c r="J84" s="73" t="e">
        <f t="shared" si="9"/>
        <v>#DIV/0!</v>
      </c>
      <c r="K84" s="73" t="e">
        <f t="shared" si="10"/>
        <v>#DIV/0!</v>
      </c>
      <c r="M84" s="56"/>
      <c r="N84" s="57"/>
      <c r="O84" s="58" t="b">
        <f t="shared" si="11"/>
        <v>0</v>
      </c>
      <c r="T84" s="85">
        <f>$U$33-$B$38/100</f>
        <v>0</v>
      </c>
      <c r="U84" s="28" t="e">
        <f>$X$33</f>
        <v>#DIV/0!</v>
      </c>
    </row>
    <row r="85" spans="5:21" ht="15" x14ac:dyDescent="0.2">
      <c r="E85" s="72">
        <v>-0.6</v>
      </c>
      <c r="F85" s="73" t="e">
        <f t="shared" si="6"/>
        <v>#DIV/0!</v>
      </c>
      <c r="G85" s="73" t="e">
        <f t="shared" si="7"/>
        <v>#DIV/0!</v>
      </c>
      <c r="H85" s="73" t="e">
        <f t="shared" si="8"/>
        <v>#DIV/0!</v>
      </c>
      <c r="I85" s="73" t="e">
        <f t="shared" si="5"/>
        <v>#DIV/0!</v>
      </c>
      <c r="J85" s="73" t="e">
        <f t="shared" si="9"/>
        <v>#DIV/0!</v>
      </c>
      <c r="K85" s="73" t="e">
        <f t="shared" si="10"/>
        <v>#DIV/0!</v>
      </c>
      <c r="M85" s="56"/>
      <c r="N85" s="57"/>
      <c r="O85" s="58" t="b">
        <f t="shared" si="11"/>
        <v>0</v>
      </c>
      <c r="T85" s="85">
        <f>$U$33+$B$38/100</f>
        <v>0</v>
      </c>
      <c r="U85" s="28" t="e">
        <f>$X$34</f>
        <v>#DIV/0!</v>
      </c>
    </row>
    <row r="86" spans="5:21" ht="15" x14ac:dyDescent="0.2">
      <c r="E86" s="72">
        <v>-0.4</v>
      </c>
      <c r="F86" s="73" t="e">
        <f t="shared" si="6"/>
        <v>#DIV/0!</v>
      </c>
      <c r="G86" s="73" t="e">
        <f t="shared" si="7"/>
        <v>#DIV/0!</v>
      </c>
      <c r="H86" s="73" t="e">
        <f t="shared" si="8"/>
        <v>#DIV/0!</v>
      </c>
      <c r="I86" s="73" t="e">
        <f t="shared" si="5"/>
        <v>#DIV/0!</v>
      </c>
      <c r="J86" s="73" t="e">
        <f t="shared" si="9"/>
        <v>#DIV/0!</v>
      </c>
      <c r="K86" s="73" t="e">
        <f t="shared" si="10"/>
        <v>#DIV/0!</v>
      </c>
      <c r="M86" s="56"/>
      <c r="N86" s="57"/>
      <c r="O86" s="58" t="b">
        <f t="shared" si="11"/>
        <v>0</v>
      </c>
      <c r="T86" s="85">
        <f>$U$34-$B$38/100</f>
        <v>0</v>
      </c>
      <c r="U86" s="28" t="e">
        <f>$X$34</f>
        <v>#DIV/0!</v>
      </c>
    </row>
    <row r="87" spans="5:21" ht="15" x14ac:dyDescent="0.2">
      <c r="E87" s="72">
        <v>-0.2</v>
      </c>
      <c r="F87" s="73" t="e">
        <f t="shared" si="6"/>
        <v>#DIV/0!</v>
      </c>
      <c r="G87" s="73" t="e">
        <f t="shared" si="7"/>
        <v>#DIV/0!</v>
      </c>
      <c r="H87" s="73" t="e">
        <f t="shared" si="8"/>
        <v>#DIV/0!</v>
      </c>
      <c r="I87" s="73" t="e">
        <f t="shared" si="5"/>
        <v>#DIV/0!</v>
      </c>
      <c r="J87" s="73" t="e">
        <f t="shared" si="9"/>
        <v>#DIV/0!</v>
      </c>
      <c r="K87" s="73" t="e">
        <f t="shared" si="10"/>
        <v>#DIV/0!</v>
      </c>
      <c r="M87" s="56"/>
      <c r="N87" s="57"/>
      <c r="O87" s="58" t="b">
        <f t="shared" si="11"/>
        <v>0</v>
      </c>
      <c r="T87" s="85">
        <f>$U$34+$B$38/100</f>
        <v>0</v>
      </c>
      <c r="U87" s="28" t="e">
        <f>$X$35</f>
        <v>#DIV/0!</v>
      </c>
    </row>
    <row r="88" spans="5:21" ht="15" x14ac:dyDescent="0.2">
      <c r="E88" s="72">
        <v>0</v>
      </c>
      <c r="F88" s="73" t="e">
        <f t="shared" si="6"/>
        <v>#DIV/0!</v>
      </c>
      <c r="G88" s="73" t="e">
        <f t="shared" si="7"/>
        <v>#DIV/0!</v>
      </c>
      <c r="H88" s="73" t="e">
        <f t="shared" si="8"/>
        <v>#DIV/0!</v>
      </c>
      <c r="I88" s="73" t="e">
        <f t="shared" si="5"/>
        <v>#DIV/0!</v>
      </c>
      <c r="J88" s="73" t="e">
        <f t="shared" si="9"/>
        <v>#DIV/0!</v>
      </c>
      <c r="K88" s="73" t="e">
        <f t="shared" si="10"/>
        <v>#DIV/0!</v>
      </c>
      <c r="M88" s="56"/>
      <c r="N88" s="57"/>
      <c r="O88" s="58" t="b">
        <f t="shared" si="11"/>
        <v>0</v>
      </c>
      <c r="T88" s="85">
        <f>$U$35-$B$38/100</f>
        <v>0</v>
      </c>
      <c r="U88" s="28" t="e">
        <f>$X$35</f>
        <v>#DIV/0!</v>
      </c>
    </row>
    <row r="89" spans="5:21" ht="15" x14ac:dyDescent="0.2">
      <c r="E89" s="72">
        <v>0.2</v>
      </c>
      <c r="F89" s="73" t="e">
        <f t="shared" si="6"/>
        <v>#DIV/0!</v>
      </c>
      <c r="G89" s="73" t="e">
        <f t="shared" si="7"/>
        <v>#DIV/0!</v>
      </c>
      <c r="H89" s="73" t="e">
        <f t="shared" si="8"/>
        <v>#DIV/0!</v>
      </c>
      <c r="I89" s="73" t="e">
        <f t="shared" si="5"/>
        <v>#DIV/0!</v>
      </c>
      <c r="J89" s="73" t="e">
        <f t="shared" si="9"/>
        <v>#DIV/0!</v>
      </c>
      <c r="K89" s="73" t="e">
        <f t="shared" si="10"/>
        <v>#DIV/0!</v>
      </c>
      <c r="M89" s="56"/>
      <c r="N89" s="57"/>
      <c r="O89" s="58" t="b">
        <f t="shared" si="11"/>
        <v>0</v>
      </c>
      <c r="T89" s="85">
        <f>$U$35+$B$38/100</f>
        <v>0</v>
      </c>
      <c r="U89" s="28" t="e">
        <f>$X$36</f>
        <v>#DIV/0!</v>
      </c>
    </row>
    <row r="90" spans="5:21" ht="15" x14ac:dyDescent="0.2">
      <c r="E90" s="72">
        <v>0.4</v>
      </c>
      <c r="F90" s="73" t="e">
        <f t="shared" si="6"/>
        <v>#DIV/0!</v>
      </c>
      <c r="G90" s="73" t="e">
        <f t="shared" si="7"/>
        <v>#DIV/0!</v>
      </c>
      <c r="H90" s="73" t="e">
        <f t="shared" si="8"/>
        <v>#DIV/0!</v>
      </c>
      <c r="I90" s="73" t="e">
        <f t="shared" si="5"/>
        <v>#DIV/0!</v>
      </c>
      <c r="J90" s="73" t="e">
        <f t="shared" si="9"/>
        <v>#DIV/0!</v>
      </c>
      <c r="K90" s="73" t="e">
        <f t="shared" si="10"/>
        <v>#DIV/0!</v>
      </c>
      <c r="M90" s="56"/>
      <c r="N90" s="57"/>
      <c r="O90" s="58" t="b">
        <f t="shared" si="11"/>
        <v>0</v>
      </c>
      <c r="T90" s="85">
        <f>$U$36-$B$38/100</f>
        <v>0</v>
      </c>
      <c r="U90" s="28" t="e">
        <f>$X$36</f>
        <v>#DIV/0!</v>
      </c>
    </row>
    <row r="91" spans="5:21" ht="15" x14ac:dyDescent="0.2">
      <c r="E91" s="72">
        <v>0.6</v>
      </c>
      <c r="F91" s="73" t="e">
        <f t="shared" si="6"/>
        <v>#DIV/0!</v>
      </c>
      <c r="G91" s="73" t="e">
        <f t="shared" si="7"/>
        <v>#DIV/0!</v>
      </c>
      <c r="H91" s="73" t="e">
        <f t="shared" si="8"/>
        <v>#DIV/0!</v>
      </c>
      <c r="I91" s="73" t="e">
        <f t="shared" si="5"/>
        <v>#DIV/0!</v>
      </c>
      <c r="J91" s="73" t="e">
        <f t="shared" si="9"/>
        <v>#DIV/0!</v>
      </c>
      <c r="K91" s="73" t="e">
        <f t="shared" si="10"/>
        <v>#DIV/0!</v>
      </c>
      <c r="M91" s="56"/>
      <c r="N91" s="57"/>
      <c r="O91" s="58" t="b">
        <f t="shared" si="11"/>
        <v>0</v>
      </c>
      <c r="T91" s="85">
        <f>$U$36+$B$38/100</f>
        <v>0</v>
      </c>
      <c r="U91" s="28" t="e">
        <f>$X$37</f>
        <v>#DIV/0!</v>
      </c>
    </row>
    <row r="92" spans="5:21" ht="15" x14ac:dyDescent="0.2">
      <c r="E92" s="72">
        <v>0.80000000000001004</v>
      </c>
      <c r="F92" s="73" t="e">
        <f t="shared" si="6"/>
        <v>#DIV/0!</v>
      </c>
      <c r="G92" s="73" t="e">
        <f t="shared" si="7"/>
        <v>#DIV/0!</v>
      </c>
      <c r="H92" s="73" t="e">
        <f t="shared" si="8"/>
        <v>#DIV/0!</v>
      </c>
      <c r="I92" s="73" t="e">
        <f t="shared" si="5"/>
        <v>#DIV/0!</v>
      </c>
      <c r="J92" s="73" t="e">
        <f t="shared" si="9"/>
        <v>#DIV/0!</v>
      </c>
      <c r="K92" s="73" t="e">
        <f t="shared" si="10"/>
        <v>#DIV/0!</v>
      </c>
      <c r="M92" s="56"/>
      <c r="N92" s="57"/>
      <c r="O92" s="58" t="b">
        <f t="shared" si="11"/>
        <v>0</v>
      </c>
      <c r="T92" s="85">
        <f>$U$37-$B$38/100</f>
        <v>0</v>
      </c>
      <c r="U92" s="28" t="e">
        <f>$X$37</f>
        <v>#DIV/0!</v>
      </c>
    </row>
    <row r="93" spans="5:21" ht="15" x14ac:dyDescent="0.2">
      <c r="E93" s="72">
        <v>1.00000000000001</v>
      </c>
      <c r="F93" s="73" t="e">
        <f t="shared" si="6"/>
        <v>#DIV/0!</v>
      </c>
      <c r="G93" s="73" t="e">
        <f t="shared" si="7"/>
        <v>#DIV/0!</v>
      </c>
      <c r="H93" s="73" t="e">
        <f t="shared" si="8"/>
        <v>#DIV/0!</v>
      </c>
      <c r="I93" s="73" t="e">
        <f t="shared" si="5"/>
        <v>#DIV/0!</v>
      </c>
      <c r="J93" s="73" t="e">
        <f t="shared" si="9"/>
        <v>#DIV/0!</v>
      </c>
      <c r="K93" s="73" t="e">
        <f t="shared" si="10"/>
        <v>#DIV/0!</v>
      </c>
      <c r="M93" s="56"/>
      <c r="N93" s="57"/>
      <c r="O93" s="58" t="b">
        <f t="shared" si="11"/>
        <v>0</v>
      </c>
      <c r="T93" s="85">
        <f>$U$37+$B$38/100</f>
        <v>0</v>
      </c>
      <c r="U93" s="28" t="e">
        <f>$X$38</f>
        <v>#DIV/0!</v>
      </c>
    </row>
    <row r="94" spans="5:21" ht="15" x14ac:dyDescent="0.2">
      <c r="E94" s="72">
        <v>1.2000000000000099</v>
      </c>
      <c r="F94" s="73" t="e">
        <f t="shared" si="6"/>
        <v>#DIV/0!</v>
      </c>
      <c r="G94" s="73" t="e">
        <f t="shared" si="7"/>
        <v>#DIV/0!</v>
      </c>
      <c r="H94" s="73" t="e">
        <f t="shared" si="8"/>
        <v>#DIV/0!</v>
      </c>
      <c r="I94" s="73" t="e">
        <f t="shared" si="5"/>
        <v>#DIV/0!</v>
      </c>
      <c r="J94" s="73" t="e">
        <f t="shared" si="9"/>
        <v>#DIV/0!</v>
      </c>
      <c r="K94" s="73" t="e">
        <f t="shared" si="10"/>
        <v>#DIV/0!</v>
      </c>
      <c r="M94" s="56"/>
      <c r="N94" s="57"/>
      <c r="O94" s="58" t="b">
        <f t="shared" si="11"/>
        <v>0</v>
      </c>
      <c r="T94" s="85">
        <f>$U$38-$B$38/100</f>
        <v>0</v>
      </c>
      <c r="U94" s="28" t="e">
        <f>$X$38</f>
        <v>#DIV/0!</v>
      </c>
    </row>
    <row r="95" spans="5:21" ht="15" x14ac:dyDescent="0.2">
      <c r="E95" s="72">
        <v>1.4000000000000099</v>
      </c>
      <c r="F95" s="73" t="e">
        <f t="shared" si="6"/>
        <v>#DIV/0!</v>
      </c>
      <c r="G95" s="73" t="e">
        <f t="shared" si="7"/>
        <v>#DIV/0!</v>
      </c>
      <c r="H95" s="73" t="e">
        <f t="shared" si="8"/>
        <v>#DIV/0!</v>
      </c>
      <c r="I95" s="73" t="e">
        <f t="shared" si="5"/>
        <v>#DIV/0!</v>
      </c>
      <c r="J95" s="73" t="e">
        <f t="shared" si="9"/>
        <v>#DIV/0!</v>
      </c>
      <c r="K95" s="73" t="e">
        <f t="shared" si="10"/>
        <v>#DIV/0!</v>
      </c>
      <c r="M95" s="56"/>
      <c r="N95" s="57"/>
      <c r="O95" s="58" t="b">
        <f t="shared" si="11"/>
        <v>0</v>
      </c>
      <c r="T95" s="85">
        <f>$U$38+$B$38/100</f>
        <v>0</v>
      </c>
      <c r="U95" s="28" t="e">
        <f>$X$39</f>
        <v>#DIV/0!</v>
      </c>
    </row>
    <row r="96" spans="5:21" ht="15" x14ac:dyDescent="0.2">
      <c r="E96" s="72">
        <v>1.6000000000000101</v>
      </c>
      <c r="F96" s="73" t="e">
        <f t="shared" si="6"/>
        <v>#DIV/0!</v>
      </c>
      <c r="G96" s="73" t="e">
        <f t="shared" si="7"/>
        <v>#DIV/0!</v>
      </c>
      <c r="H96" s="73" t="e">
        <f t="shared" si="8"/>
        <v>#DIV/0!</v>
      </c>
      <c r="I96" s="73" t="e">
        <f t="shared" si="5"/>
        <v>#DIV/0!</v>
      </c>
      <c r="J96" s="73" t="e">
        <f t="shared" si="9"/>
        <v>#DIV/0!</v>
      </c>
      <c r="K96" s="73" t="e">
        <f t="shared" si="10"/>
        <v>#DIV/0!</v>
      </c>
      <c r="M96" s="56"/>
      <c r="N96" s="57"/>
      <c r="O96" s="58" t="b">
        <f t="shared" si="11"/>
        <v>0</v>
      </c>
      <c r="T96" s="85">
        <f>$U$39-$B$38/100</f>
        <v>0</v>
      </c>
      <c r="U96" s="28" t="e">
        <f>$X$39</f>
        <v>#DIV/0!</v>
      </c>
    </row>
    <row r="97" spans="5:21" ht="15" x14ac:dyDescent="0.2">
      <c r="E97" s="72">
        <v>1.80000000000001</v>
      </c>
      <c r="F97" s="73" t="e">
        <f t="shared" si="6"/>
        <v>#DIV/0!</v>
      </c>
      <c r="G97" s="73" t="e">
        <f t="shared" si="7"/>
        <v>#DIV/0!</v>
      </c>
      <c r="H97" s="73" t="e">
        <f t="shared" si="8"/>
        <v>#DIV/0!</v>
      </c>
      <c r="I97" s="73" t="e">
        <f t="shared" si="5"/>
        <v>#DIV/0!</v>
      </c>
      <c r="J97" s="73" t="e">
        <f t="shared" si="9"/>
        <v>#DIV/0!</v>
      </c>
      <c r="K97" s="73" t="e">
        <f t="shared" si="10"/>
        <v>#DIV/0!</v>
      </c>
      <c r="M97" s="56"/>
      <c r="N97" s="57"/>
      <c r="O97" s="58" t="b">
        <f t="shared" si="11"/>
        <v>0</v>
      </c>
      <c r="T97" s="85">
        <f>$U$39+$B$38/100</f>
        <v>0</v>
      </c>
      <c r="U97" s="28" t="e">
        <f>$X$40</f>
        <v>#DIV/0!</v>
      </c>
    </row>
    <row r="98" spans="5:21" ht="15" x14ac:dyDescent="0.2">
      <c r="E98" s="72">
        <v>2.0000000000000102</v>
      </c>
      <c r="F98" s="73" t="e">
        <f t="shared" si="6"/>
        <v>#DIV/0!</v>
      </c>
      <c r="G98" s="73" t="e">
        <f t="shared" si="7"/>
        <v>#DIV/0!</v>
      </c>
      <c r="H98" s="73" t="e">
        <f t="shared" si="8"/>
        <v>#DIV/0!</v>
      </c>
      <c r="I98" s="73" t="e">
        <f t="shared" si="5"/>
        <v>#DIV/0!</v>
      </c>
      <c r="J98" s="73" t="e">
        <f t="shared" si="9"/>
        <v>#DIV/0!</v>
      </c>
      <c r="K98" s="73" t="e">
        <f t="shared" si="10"/>
        <v>#DIV/0!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 t="e">
        <f t="shared" si="6"/>
        <v>#DIV/0!</v>
      </c>
      <c r="G99" s="73" t="e">
        <f t="shared" si="7"/>
        <v>#DIV/0!</v>
      </c>
      <c r="H99" s="73" t="e">
        <f t="shared" si="8"/>
        <v>#DIV/0!</v>
      </c>
      <c r="I99" s="73" t="e">
        <f t="shared" si="5"/>
        <v>#DIV/0!</v>
      </c>
      <c r="J99" s="73" t="e">
        <f t="shared" si="9"/>
        <v>#DIV/0!</v>
      </c>
      <c r="K99" s="73" t="e">
        <f t="shared" si="10"/>
        <v>#DIV/0!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 t="e">
        <f t="shared" si="6"/>
        <v>#DIV/0!</v>
      </c>
      <c r="G100" s="73" t="e">
        <f t="shared" si="7"/>
        <v>#DIV/0!</v>
      </c>
      <c r="H100" s="73" t="e">
        <f t="shared" si="8"/>
        <v>#DIV/0!</v>
      </c>
      <c r="I100" s="73" t="e">
        <f t="shared" si="5"/>
        <v>#DIV/0!</v>
      </c>
      <c r="J100" s="73" t="e">
        <f t="shared" si="9"/>
        <v>#DIV/0!</v>
      </c>
      <c r="K100" s="73" t="e">
        <f t="shared" si="10"/>
        <v>#DIV/0!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 t="e">
        <f t="shared" si="6"/>
        <v>#DIV/0!</v>
      </c>
      <c r="G101" s="73" t="e">
        <f t="shared" si="7"/>
        <v>#DIV/0!</v>
      </c>
      <c r="H101" s="73" t="e">
        <f t="shared" si="8"/>
        <v>#DIV/0!</v>
      </c>
      <c r="I101" s="73" t="e">
        <f t="shared" si="5"/>
        <v>#DIV/0!</v>
      </c>
      <c r="J101" s="73" t="e">
        <f t="shared" si="9"/>
        <v>#DIV/0!</v>
      </c>
      <c r="K101" s="73" t="e">
        <f t="shared" si="10"/>
        <v>#DIV/0!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 t="e">
        <f t="shared" si="6"/>
        <v>#DIV/0!</v>
      </c>
      <c r="G102" s="73" t="e">
        <f t="shared" si="7"/>
        <v>#DIV/0!</v>
      </c>
      <c r="H102" s="73" t="e">
        <f t="shared" si="8"/>
        <v>#DIV/0!</v>
      </c>
      <c r="I102" s="73" t="e">
        <f t="shared" si="5"/>
        <v>#DIV/0!</v>
      </c>
      <c r="J102" s="73" t="e">
        <f t="shared" si="9"/>
        <v>#DIV/0!</v>
      </c>
      <c r="K102" s="73" t="e">
        <f t="shared" si="10"/>
        <v>#DIV/0!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 t="e">
        <f t="shared" si="6"/>
        <v>#DIV/0!</v>
      </c>
      <c r="G103" s="73" t="e">
        <f t="shared" si="7"/>
        <v>#DIV/0!</v>
      </c>
      <c r="H103" s="73" t="e">
        <f t="shared" si="8"/>
        <v>#DIV/0!</v>
      </c>
      <c r="I103" s="73" t="e">
        <f t="shared" si="5"/>
        <v>#DIV/0!</v>
      </c>
      <c r="J103" s="73" t="e">
        <f t="shared" si="9"/>
        <v>#DIV/0!</v>
      </c>
      <c r="K103" s="73" t="e">
        <f t="shared" si="10"/>
        <v>#DIV/0!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 t="e">
        <f t="shared" si="6"/>
        <v>#DIV/0!</v>
      </c>
      <c r="G104" s="73" t="e">
        <f t="shared" si="7"/>
        <v>#DIV/0!</v>
      </c>
      <c r="H104" s="73" t="e">
        <f t="shared" si="8"/>
        <v>#DIV/0!</v>
      </c>
      <c r="I104" s="73" t="e">
        <f t="shared" si="5"/>
        <v>#DIV/0!</v>
      </c>
      <c r="J104" s="73" t="e">
        <f t="shared" si="9"/>
        <v>#DIV/0!</v>
      </c>
      <c r="K104" s="73" t="e">
        <f t="shared" si="10"/>
        <v>#DIV/0!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 t="e">
        <f t="shared" si="6"/>
        <v>#DIV/0!</v>
      </c>
      <c r="G105" s="73" t="e">
        <f t="shared" si="7"/>
        <v>#DIV/0!</v>
      </c>
      <c r="H105" s="73" t="e">
        <f t="shared" si="8"/>
        <v>#DIV/0!</v>
      </c>
      <c r="I105" s="73" t="e">
        <f t="shared" si="5"/>
        <v>#DIV/0!</v>
      </c>
      <c r="J105" s="73" t="e">
        <f t="shared" si="9"/>
        <v>#DIV/0!</v>
      </c>
      <c r="K105" s="73" t="e">
        <f t="shared" si="10"/>
        <v>#DIV/0!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 t="e">
        <f t="shared" si="6"/>
        <v>#DIV/0!</v>
      </c>
      <c r="G106" s="73" t="e">
        <f t="shared" si="7"/>
        <v>#DIV/0!</v>
      </c>
      <c r="H106" s="73" t="e">
        <f t="shared" si="8"/>
        <v>#DIV/0!</v>
      </c>
      <c r="I106" s="73" t="e">
        <f t="shared" si="5"/>
        <v>#DIV/0!</v>
      </c>
      <c r="J106" s="73" t="e">
        <f t="shared" si="9"/>
        <v>#DIV/0!</v>
      </c>
      <c r="K106" s="73" t="e">
        <f t="shared" si="10"/>
        <v>#DIV/0!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 t="e">
        <f t="shared" si="6"/>
        <v>#DIV/0!</v>
      </c>
      <c r="G107" s="73" t="e">
        <f t="shared" si="7"/>
        <v>#DIV/0!</v>
      </c>
      <c r="H107" s="73" t="e">
        <f t="shared" si="8"/>
        <v>#DIV/0!</v>
      </c>
      <c r="I107" s="73" t="e">
        <f t="shared" si="5"/>
        <v>#DIV/0!</v>
      </c>
      <c r="J107" s="73" t="e">
        <f t="shared" si="9"/>
        <v>#DIV/0!</v>
      </c>
      <c r="K107" s="73" t="e">
        <f t="shared" si="10"/>
        <v>#DIV/0!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 t="e">
        <f t="shared" si="6"/>
        <v>#DIV/0!</v>
      </c>
      <c r="G108" s="73" t="e">
        <f t="shared" si="7"/>
        <v>#DIV/0!</v>
      </c>
      <c r="H108" s="73" t="e">
        <f t="shared" si="8"/>
        <v>#DIV/0!</v>
      </c>
      <c r="I108" s="73" t="e">
        <f t="shared" si="5"/>
        <v>#DIV/0!</v>
      </c>
      <c r="J108" s="73" t="e">
        <f t="shared" si="9"/>
        <v>#DIV/0!</v>
      </c>
      <c r="K108" s="73" t="e">
        <f t="shared" si="10"/>
        <v>#DIV/0!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 t="e">
        <f t="shared" si="6"/>
        <v>#DIV/0!</v>
      </c>
      <c r="G109" s="73" t="e">
        <f t="shared" si="7"/>
        <v>#DIV/0!</v>
      </c>
      <c r="H109" s="73" t="e">
        <f t="shared" si="8"/>
        <v>#DIV/0!</v>
      </c>
      <c r="I109" s="73" t="e">
        <f t="shared" si="5"/>
        <v>#DIV/0!</v>
      </c>
      <c r="J109" s="73" t="e">
        <f t="shared" si="9"/>
        <v>#DIV/0!</v>
      </c>
      <c r="K109" s="73" t="e">
        <f t="shared" si="10"/>
        <v>#DIV/0!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 t="e">
        <f t="shared" si="6"/>
        <v>#DIV/0!</v>
      </c>
      <c r="G110" s="73" t="e">
        <f t="shared" si="7"/>
        <v>#DIV/0!</v>
      </c>
      <c r="H110" s="73" t="e">
        <f t="shared" si="8"/>
        <v>#DIV/0!</v>
      </c>
      <c r="I110" s="73" t="e">
        <f t="shared" si="5"/>
        <v>#DIV/0!</v>
      </c>
      <c r="J110" s="73" t="e">
        <f t="shared" si="9"/>
        <v>#DIV/0!</v>
      </c>
      <c r="K110" s="73" t="e">
        <f t="shared" si="10"/>
        <v>#DIV/0!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 t="e">
        <f t="shared" si="6"/>
        <v>#DIV/0!</v>
      </c>
      <c r="G111" s="73" t="e">
        <f t="shared" si="7"/>
        <v>#DIV/0!</v>
      </c>
      <c r="H111" s="73" t="e">
        <f t="shared" si="8"/>
        <v>#DIV/0!</v>
      </c>
      <c r="I111" s="73" t="e">
        <f t="shared" si="5"/>
        <v>#DIV/0!</v>
      </c>
      <c r="J111" s="73" t="e">
        <f t="shared" si="9"/>
        <v>#DIV/0!</v>
      </c>
      <c r="K111" s="73" t="e">
        <f t="shared" si="10"/>
        <v>#DIV/0!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 t="e">
        <f t="shared" si="6"/>
        <v>#DIV/0!</v>
      </c>
      <c r="G112" s="73" t="e">
        <f t="shared" si="7"/>
        <v>#DIV/0!</v>
      </c>
      <c r="H112" s="73" t="e">
        <f t="shared" si="8"/>
        <v>#DIV/0!</v>
      </c>
      <c r="I112" s="73" t="e">
        <f t="shared" si="5"/>
        <v>#DIV/0!</v>
      </c>
      <c r="J112" s="73" t="e">
        <f t="shared" si="9"/>
        <v>#DIV/0!</v>
      </c>
      <c r="K112" s="73" t="e">
        <f t="shared" si="10"/>
        <v>#DIV/0!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 t="e">
        <f t="shared" si="6"/>
        <v>#DIV/0!</v>
      </c>
      <c r="G113" s="73" t="e">
        <f t="shared" si="7"/>
        <v>#DIV/0!</v>
      </c>
      <c r="H113" s="73" t="e">
        <f t="shared" si="8"/>
        <v>#DIV/0!</v>
      </c>
      <c r="I113" s="73" t="e">
        <f t="shared" si="5"/>
        <v>#DIV/0!</v>
      </c>
      <c r="J113" s="73" t="e">
        <f t="shared" si="9"/>
        <v>#DIV/0!</v>
      </c>
      <c r="K113" s="73" t="e">
        <f t="shared" si="10"/>
        <v>#DIV/0!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 t="e">
        <f>CORREL($N$3:$N$252,$M$3:$M$252)</f>
        <v>#DIV/0!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 t="e">
        <f>INTERCEPT($N$3:$N$252,$M$3:$M$252)</f>
        <v>#DIV/0!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 t="e">
        <f>SLOPE($N$3:$N$252,$M$3:$M$252)</f>
        <v>#DIV/0!</v>
      </c>
      <c r="H120" s="69" t="s">
        <v>50</v>
      </c>
      <c r="I120" s="79" t="b">
        <f>IF($B$9&gt;3,INDEX(XX!$C$4:$C$150,$B$9))</f>
        <v>0</v>
      </c>
      <c r="J120" s="79" t="b">
        <f>IF($B$9&gt;3,INDEX(XX!$D$4:$D$150,$B$9))</f>
        <v>0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 t="e">
        <f>IF((ABS($G$118)&gt;$I$120)*AND(ABS($G$118)&lt;$J$120),G$119+G$120*G122,0)</f>
        <v>#DIV/0!</v>
      </c>
      <c r="J122" s="79" t="e">
        <f>IF((ABS($G$118)&gt;$J$120),G$119+G$120*G122,0)</f>
        <v>#DIV/0!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0</v>
      </c>
      <c r="H123" s="11"/>
      <c r="I123" s="79" t="e">
        <f>IF((ABS($G$118)&gt;$I$120)*AND(ABS($G$118)&lt;$J$120),G$119+G$120*G123,0)</f>
        <v>#DIV/0!</v>
      </c>
      <c r="J123" s="79" t="e">
        <f>IF((ABS($G$118)&gt;$J$120),G$119+G$120*G123,0)</f>
        <v>#DIV/0!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B37" sqref="B3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28515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5.2851562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119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36769</v>
      </c>
      <c r="N3" s="57">
        <v>32</v>
      </c>
      <c r="O3" s="58">
        <f t="shared" ref="O3:O66" si="0">IF($N3&gt;0,LN($N3+$B$26))</f>
        <v>3.4657359027997265</v>
      </c>
      <c r="T3" s="69" t="s">
        <v>109</v>
      </c>
      <c r="U3" s="82">
        <f>$B$21</f>
        <v>98.306355669388807</v>
      </c>
      <c r="V3" s="82">
        <f t="shared" ref="V3:V10" si="1">U3</f>
        <v>98.306355669388807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36895</v>
      </c>
      <c r="N4" s="57">
        <v>78</v>
      </c>
      <c r="O4" s="58">
        <f t="shared" si="0"/>
        <v>4.3567088266895917</v>
      </c>
      <c r="T4" s="69" t="s">
        <v>111</v>
      </c>
      <c r="U4" s="82">
        <f>$B$31</f>
        <v>101.17509891498089</v>
      </c>
      <c r="V4" s="82">
        <f t="shared" si="1"/>
        <v>101.17509891498089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37333</v>
      </c>
      <c r="N5" s="57">
        <v>73</v>
      </c>
      <c r="O5" s="58">
        <f t="shared" si="0"/>
        <v>4.290459441148391</v>
      </c>
      <c r="T5" s="69" t="s">
        <v>110</v>
      </c>
      <c r="U5" s="82">
        <f>$B$22</f>
        <v>105.03391640375774</v>
      </c>
      <c r="V5" s="82">
        <f t="shared" si="1"/>
        <v>105.03391640375774</v>
      </c>
    </row>
    <row r="6" spans="1:24" ht="15" customHeight="1" x14ac:dyDescent="0.2">
      <c r="A6" s="107" t="s">
        <v>18</v>
      </c>
      <c r="B6" s="20" t="s">
        <v>93</v>
      </c>
      <c r="C6" s="18"/>
      <c r="M6" s="56">
        <v>37540</v>
      </c>
      <c r="N6" s="57">
        <v>29.7</v>
      </c>
      <c r="O6" s="58">
        <f t="shared" si="0"/>
        <v>3.3911470458086539</v>
      </c>
      <c r="T6" s="69" t="s">
        <v>29</v>
      </c>
      <c r="U6" s="82">
        <f>$B$32</f>
        <v>115.4800746937412</v>
      </c>
      <c r="V6" s="82">
        <f t="shared" si="1"/>
        <v>115.4800746937412</v>
      </c>
    </row>
    <row r="7" spans="1:24" ht="15" customHeight="1" x14ac:dyDescent="0.2">
      <c r="D7" s="4"/>
      <c r="F7" s="5"/>
      <c r="M7" s="56">
        <v>37677</v>
      </c>
      <c r="N7" s="57">
        <v>70</v>
      </c>
      <c r="O7" s="58">
        <f t="shared" si="0"/>
        <v>4.2484952420493594</v>
      </c>
      <c r="T7" s="69" t="s">
        <v>31</v>
      </c>
      <c r="U7" s="82">
        <f>$C$21</f>
        <v>26.328426939306858</v>
      </c>
      <c r="V7" s="82">
        <f t="shared" si="1"/>
        <v>26.328426939306858</v>
      </c>
    </row>
    <row r="8" spans="1:24" ht="15" customHeight="1" x14ac:dyDescent="0.25">
      <c r="A8" s="140" t="s">
        <v>12</v>
      </c>
      <c r="B8" s="140"/>
      <c r="C8" s="140"/>
      <c r="D8" s="4"/>
      <c r="M8" s="56">
        <v>37852</v>
      </c>
      <c r="N8" s="57">
        <v>31</v>
      </c>
      <c r="O8" s="58">
        <f t="shared" si="0"/>
        <v>3.4339872044851463</v>
      </c>
      <c r="T8" s="69" t="s">
        <v>32</v>
      </c>
      <c r="U8" s="82">
        <f>$C$31</f>
        <v>3.4509788490910696</v>
      </c>
      <c r="V8" s="82">
        <f t="shared" si="1"/>
        <v>3.4509788490910696</v>
      </c>
    </row>
    <row r="9" spans="1:24" ht="15" customHeight="1" x14ac:dyDescent="0.2">
      <c r="A9" s="101" t="s">
        <v>11</v>
      </c>
      <c r="B9" s="59">
        <f>COUNT($M$3:$M252)</f>
        <v>46</v>
      </c>
      <c r="C9" s="60"/>
      <c r="D9" s="4"/>
      <c r="M9" s="56">
        <v>38055</v>
      </c>
      <c r="N9" s="57">
        <v>63</v>
      </c>
      <c r="O9" s="58">
        <f t="shared" si="0"/>
        <v>4.1431347263915326</v>
      </c>
      <c r="T9" s="69" t="s">
        <v>112</v>
      </c>
      <c r="U9" s="82">
        <f>$C$22</f>
        <v>19.60086620493793</v>
      </c>
      <c r="V9" s="82">
        <f t="shared" si="1"/>
        <v>19.60086620493793</v>
      </c>
    </row>
    <row r="10" spans="1:24" ht="15" customHeight="1" x14ac:dyDescent="0.2">
      <c r="A10" s="102" t="s">
        <v>7</v>
      </c>
      <c r="B10" s="61">
        <f>MIN($N$3:$N$252)</f>
        <v>27</v>
      </c>
      <c r="C10" s="60"/>
      <c r="D10" s="4"/>
      <c r="M10" s="56">
        <v>38264</v>
      </c>
      <c r="N10" s="57">
        <v>27</v>
      </c>
      <c r="O10" s="58">
        <f t="shared" si="0"/>
        <v>3.2958368660043291</v>
      </c>
      <c r="T10" s="69" t="s">
        <v>113</v>
      </c>
      <c r="U10" s="82">
        <f>$C$32</f>
        <v>3.3324825947361933</v>
      </c>
      <c r="V10" s="82">
        <f t="shared" si="1"/>
        <v>3.3324825947361933</v>
      </c>
    </row>
    <row r="11" spans="1:24" ht="15" customHeight="1" x14ac:dyDescent="0.2">
      <c r="A11" s="102" t="s">
        <v>8</v>
      </c>
      <c r="B11" s="61">
        <f>MAX($N$3:$N$252)</f>
        <v>116</v>
      </c>
      <c r="C11" s="60"/>
      <c r="D11" s="4"/>
      <c r="M11" s="56">
        <v>38421</v>
      </c>
      <c r="N11" s="57">
        <v>72</v>
      </c>
      <c r="O11" s="58">
        <f t="shared" si="0"/>
        <v>4.2766661190160553</v>
      </c>
      <c r="T11" s="69" t="s">
        <v>68</v>
      </c>
      <c r="U11" s="82">
        <f>$B$12</f>
        <v>64.05</v>
      </c>
      <c r="V11" s="82">
        <f>U11</f>
        <v>64.05</v>
      </c>
    </row>
    <row r="12" spans="1:24" ht="15" customHeight="1" x14ac:dyDescent="0.2">
      <c r="A12" s="102" t="s">
        <v>68</v>
      </c>
      <c r="B12" s="62">
        <f>MEDIAN($N$3:$N$252)</f>
        <v>64.05</v>
      </c>
      <c r="C12" s="50"/>
      <c r="D12" s="4"/>
      <c r="M12" s="56">
        <v>38631</v>
      </c>
      <c r="N12" s="57">
        <v>50</v>
      </c>
      <c r="O12" s="58">
        <f t="shared" si="0"/>
        <v>3.912023005428146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38747</v>
      </c>
      <c r="N13" s="57">
        <v>63</v>
      </c>
      <c r="O13" s="58">
        <f t="shared" si="0"/>
        <v>4.1431347263915326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38944</v>
      </c>
      <c r="N14" s="57">
        <v>55</v>
      </c>
      <c r="O14" s="58">
        <f t="shared" si="0"/>
        <v>4.0073331852324712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39115</v>
      </c>
      <c r="N15" s="57">
        <v>64</v>
      </c>
      <c r="O15" s="58">
        <f t="shared" si="0"/>
        <v>4.1588830833596715</v>
      </c>
      <c r="T15" s="69">
        <v>1</v>
      </c>
      <c r="U15" s="77">
        <f t="shared" ref="U15:U39" si="3">$B$36+T15*$B$38</f>
        <v>4.8720000000000008</v>
      </c>
      <c r="V15" s="84">
        <f>FREQUENCY($N$3:$N$252,$U$15:$U$39)</f>
        <v>0</v>
      </c>
      <c r="W15" s="79">
        <f t="shared" ref="W15:W39" si="4">(U15+U14)/2</f>
        <v>2.4360000000000004</v>
      </c>
      <c r="X15" s="80">
        <f t="shared" si="2"/>
        <v>0</v>
      </c>
    </row>
    <row r="16" spans="1:24" ht="15" customHeight="1" x14ac:dyDescent="0.2">
      <c r="A16" s="108" t="s">
        <v>73</v>
      </c>
      <c r="B16" s="63">
        <f>AVERAGE($N$3:$N$252)</f>
        <v>62.317391304347836</v>
      </c>
      <c r="C16" s="60"/>
      <c r="M16" s="56">
        <v>39318</v>
      </c>
      <c r="N16" s="57">
        <v>54</v>
      </c>
      <c r="O16" s="58">
        <f t="shared" si="0"/>
        <v>3.9889840465642745</v>
      </c>
      <c r="T16" s="69">
        <v>2</v>
      </c>
      <c r="U16" s="77">
        <f t="shared" si="3"/>
        <v>9.7440000000000015</v>
      </c>
      <c r="V16" s="84">
        <f t="array" ref="V16:V40">FREQUENCY($N$3:$N$252,$U$15:$U$39)</f>
        <v>0</v>
      </c>
      <c r="W16" s="79">
        <f t="shared" si="4"/>
        <v>7.3080000000000016</v>
      </c>
      <c r="X16" s="80">
        <f t="shared" si="2"/>
        <v>0</v>
      </c>
    </row>
    <row r="17" spans="1:24" ht="15" customHeight="1" x14ac:dyDescent="0.2">
      <c r="A17" s="109" t="s">
        <v>75</v>
      </c>
      <c r="B17" s="62">
        <f>STDEV($N$3:$N$252)</f>
        <v>18.362053919825744</v>
      </c>
      <c r="C17" s="60"/>
      <c r="D17" s="4"/>
      <c r="M17" s="56">
        <v>39492</v>
      </c>
      <c r="N17" s="57">
        <v>61</v>
      </c>
      <c r="O17" s="58">
        <f t="shared" si="0"/>
        <v>4.1108738641733114</v>
      </c>
      <c r="T17" s="69">
        <v>3</v>
      </c>
      <c r="U17" s="77">
        <f t="shared" si="3"/>
        <v>14.616000000000003</v>
      </c>
      <c r="V17" s="84">
        <v>0</v>
      </c>
      <c r="W17" s="79">
        <f t="shared" si="4"/>
        <v>12.180000000000003</v>
      </c>
      <c r="X17" s="80">
        <f t="shared" si="2"/>
        <v>0</v>
      </c>
    </row>
    <row r="18" spans="1:24" ht="15" customHeight="1" x14ac:dyDescent="0.2">
      <c r="A18" s="109" t="s">
        <v>92</v>
      </c>
      <c r="B18" s="24">
        <f>((NORMINV(0.83,B16,B17)-B12)-(B12-NORMINV(0.17,B16,B17)))/(NORMINV(0.83,B16,B17)-NORMINV(0.17,B16,B17))</f>
        <v>-9.889074167857155E-2</v>
      </c>
      <c r="C18" s="114" t="s">
        <v>45</v>
      </c>
      <c r="D18" s="4"/>
      <c r="J18" s="6"/>
      <c r="M18" s="56">
        <v>39723</v>
      </c>
      <c r="N18" s="57">
        <v>34</v>
      </c>
      <c r="O18" s="58">
        <f t="shared" si="0"/>
        <v>3.5263605246161616</v>
      </c>
      <c r="T18" s="69">
        <v>4</v>
      </c>
      <c r="U18" s="77">
        <f t="shared" si="3"/>
        <v>19.488000000000003</v>
      </c>
      <c r="V18" s="84">
        <v>0</v>
      </c>
      <c r="W18" s="79">
        <f t="shared" si="4"/>
        <v>17.052000000000003</v>
      </c>
      <c r="X18" s="80">
        <f t="shared" si="2"/>
        <v>0</v>
      </c>
    </row>
    <row r="19" spans="1:24" ht="15" customHeight="1" x14ac:dyDescent="0.25">
      <c r="A19" s="109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39842</v>
      </c>
      <c r="N19" s="57">
        <v>39</v>
      </c>
      <c r="O19" s="58">
        <f t="shared" si="0"/>
        <v>3.6635616461296463</v>
      </c>
      <c r="T19" s="69">
        <v>5</v>
      </c>
      <c r="U19" s="77">
        <f t="shared" si="3"/>
        <v>24.360000000000003</v>
      </c>
      <c r="V19" s="84">
        <v>0</v>
      </c>
      <c r="W19" s="79">
        <f t="shared" si="4"/>
        <v>21.924000000000003</v>
      </c>
      <c r="X19" s="80">
        <f t="shared" si="2"/>
        <v>0</v>
      </c>
    </row>
    <row r="20" spans="1:24" ht="15" customHeight="1" x14ac:dyDescent="0.2">
      <c r="A20" s="109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40024</v>
      </c>
      <c r="N20" s="57">
        <v>43</v>
      </c>
      <c r="O20" s="58">
        <f t="shared" si="0"/>
        <v>3.7612001156935624</v>
      </c>
      <c r="T20" s="69">
        <v>6</v>
      </c>
      <c r="U20" s="77">
        <f t="shared" si="3"/>
        <v>29.232000000000006</v>
      </c>
      <c r="V20" s="84">
        <v>0</v>
      </c>
      <c r="W20" s="79">
        <f t="shared" si="4"/>
        <v>26.796000000000006</v>
      </c>
      <c r="X20" s="80">
        <f t="shared" si="2"/>
        <v>0</v>
      </c>
    </row>
    <row r="21" spans="1:24" ht="15" customHeight="1" x14ac:dyDescent="0.2">
      <c r="A21" s="110" t="s">
        <v>76</v>
      </c>
      <c r="B21" s="62">
        <f>NORMINV(0.975,$B$16,$B$17)</f>
        <v>98.306355669388807</v>
      </c>
      <c r="C21" s="62">
        <f>NORMINV(0.025,$B$16,$B$17)</f>
        <v>26.328426939306858</v>
      </c>
      <c r="D21" s="4"/>
      <c r="M21" s="56">
        <v>40198</v>
      </c>
      <c r="N21" s="57">
        <v>60</v>
      </c>
      <c r="O21" s="58">
        <f t="shared" si="0"/>
        <v>4.0943445622221004</v>
      </c>
      <c r="T21" s="69">
        <v>7</v>
      </c>
      <c r="U21" s="77">
        <f t="shared" si="3"/>
        <v>34.104000000000006</v>
      </c>
      <c r="V21" s="84">
        <v>1</v>
      </c>
      <c r="W21" s="79">
        <f t="shared" si="4"/>
        <v>31.668000000000006</v>
      </c>
      <c r="X21" s="80">
        <f t="shared" si="2"/>
        <v>4.4620546869422427E-3</v>
      </c>
    </row>
    <row r="22" spans="1:24" ht="15" customHeight="1" x14ac:dyDescent="0.2">
      <c r="A22" s="111" t="s">
        <v>77</v>
      </c>
      <c r="B22" s="62">
        <f>NORMINV(0.99,$B$16,$B$17)</f>
        <v>105.03391640375774</v>
      </c>
      <c r="C22" s="62">
        <f>NORMINV(0.01,B16,B17)</f>
        <v>19.60086620493793</v>
      </c>
      <c r="M22" s="56">
        <v>40329</v>
      </c>
      <c r="N22" s="57">
        <v>48.3</v>
      </c>
      <c r="O22" s="58">
        <f t="shared" si="0"/>
        <v>3.8774315606585268</v>
      </c>
      <c r="T22" s="69">
        <v>8</v>
      </c>
      <c r="U22" s="77">
        <f t="shared" si="3"/>
        <v>38.976000000000006</v>
      </c>
      <c r="V22" s="84">
        <v>4</v>
      </c>
      <c r="W22" s="79">
        <f t="shared" si="4"/>
        <v>36.540000000000006</v>
      </c>
      <c r="X22" s="80">
        <f t="shared" si="2"/>
        <v>1.7848218747768971E-2</v>
      </c>
    </row>
    <row r="23" spans="1:24" ht="15" customHeight="1" x14ac:dyDescent="0.25">
      <c r="E23" s="144" t="s">
        <v>80</v>
      </c>
      <c r="F23" s="144"/>
      <c r="G23" s="144"/>
      <c r="M23" s="56">
        <v>40409</v>
      </c>
      <c r="N23" s="57">
        <v>53</v>
      </c>
      <c r="O23" s="58">
        <f t="shared" si="0"/>
        <v>3.970291913552122</v>
      </c>
      <c r="T23" s="69">
        <v>9</v>
      </c>
      <c r="U23" s="77">
        <f t="shared" si="3"/>
        <v>43.848000000000006</v>
      </c>
      <c r="V23" s="84">
        <v>1</v>
      </c>
      <c r="W23" s="79">
        <f t="shared" si="4"/>
        <v>41.412000000000006</v>
      </c>
      <c r="X23" s="80">
        <f t="shared" si="2"/>
        <v>4.4620546869422427E-3</v>
      </c>
    </row>
    <row r="24" spans="1:24" ht="15" customHeight="1" x14ac:dyDescent="0.2">
      <c r="M24" s="56">
        <v>40487</v>
      </c>
      <c r="N24" s="57">
        <v>66</v>
      </c>
      <c r="O24" s="58">
        <f t="shared" si="0"/>
        <v>4.1896547420264252</v>
      </c>
      <c r="T24" s="69">
        <v>10</v>
      </c>
      <c r="U24" s="77">
        <f t="shared" si="3"/>
        <v>48.720000000000006</v>
      </c>
      <c r="V24" s="84">
        <v>2</v>
      </c>
      <c r="W24" s="79">
        <f t="shared" si="4"/>
        <v>46.284000000000006</v>
      </c>
      <c r="X24" s="80">
        <f t="shared" si="2"/>
        <v>8.9241093738844854E-3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40639</v>
      </c>
      <c r="N25" s="57">
        <v>72</v>
      </c>
      <c r="O25" s="58">
        <f t="shared" si="0"/>
        <v>4.2766661190160553</v>
      </c>
      <c r="Q25" s="75" t="s">
        <v>68</v>
      </c>
      <c r="R25" s="75">
        <f>MEDIAN($O$3:$O$252)</f>
        <v>4.1596637236431473</v>
      </c>
      <c r="T25" s="69">
        <v>11</v>
      </c>
      <c r="U25" s="77">
        <f t="shared" si="3"/>
        <v>53.592000000000006</v>
      </c>
      <c r="V25" s="84">
        <v>2</v>
      </c>
      <c r="W25" s="79">
        <f t="shared" si="4"/>
        <v>51.156000000000006</v>
      </c>
      <c r="X25" s="80">
        <f t="shared" si="2"/>
        <v>8.9241093738844854E-3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40744</v>
      </c>
      <c r="N26" s="57">
        <v>68</v>
      </c>
      <c r="O26" s="58">
        <f t="shared" si="0"/>
        <v>4.219507705176107</v>
      </c>
      <c r="Q26" s="75" t="s">
        <v>73</v>
      </c>
      <c r="R26" s="75">
        <f>AVERAGE($O$3:$O$252)</f>
        <v>4.0848724167228312</v>
      </c>
      <c r="T26" s="69">
        <v>12</v>
      </c>
      <c r="U26" s="77">
        <f t="shared" si="3"/>
        <v>58.464000000000013</v>
      </c>
      <c r="V26" s="84">
        <v>3</v>
      </c>
      <c r="W26" s="79">
        <f t="shared" si="4"/>
        <v>56.028000000000006</v>
      </c>
      <c r="X26" s="80">
        <f t="shared" si="2"/>
        <v>1.3386164060826728E-2</v>
      </c>
    </row>
    <row r="27" spans="1:24" ht="15" customHeight="1" x14ac:dyDescent="0.2">
      <c r="A27" s="65" t="s">
        <v>17</v>
      </c>
      <c r="B27" s="62">
        <f>EXP($R$26)</f>
        <v>59.434354437786588</v>
      </c>
      <c r="C27" s="62"/>
      <c r="E27" s="7" t="e">
        <f>STDEV(C50:C199)</f>
        <v>#DIV/0!</v>
      </c>
      <c r="F27" s="7" t="e">
        <f>NORMINV(0.025,$E26,$E27)</f>
        <v>#DIV/0!</v>
      </c>
      <c r="M27" s="56">
        <v>40799</v>
      </c>
      <c r="N27" s="57">
        <v>59</v>
      </c>
      <c r="O27" s="58">
        <f t="shared" si="0"/>
        <v>4.0775374439057197</v>
      </c>
      <c r="Q27" s="75" t="s">
        <v>104</v>
      </c>
      <c r="R27" s="75">
        <f>STDEV($O$3:$O$252)</f>
        <v>0.32342102846370313</v>
      </c>
      <c r="T27" s="69">
        <v>13</v>
      </c>
      <c r="U27" s="77">
        <f t="shared" si="3"/>
        <v>63.336000000000013</v>
      </c>
      <c r="V27" s="84">
        <v>4</v>
      </c>
      <c r="W27" s="79">
        <f t="shared" si="4"/>
        <v>60.900000000000013</v>
      </c>
      <c r="X27" s="80">
        <f t="shared" si="2"/>
        <v>1.7848218747768971E-2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-0.24235906657379772</v>
      </c>
      <c r="C28" s="115" t="s">
        <v>45</v>
      </c>
      <c r="F28" s="7" t="e">
        <f>NORMINV(0.01,$E$26,$E$27)</f>
        <v>#DIV/0!</v>
      </c>
      <c r="M28" s="56">
        <v>40898</v>
      </c>
      <c r="N28" s="57">
        <v>78</v>
      </c>
      <c r="O28" s="58">
        <f t="shared" si="0"/>
        <v>4.3567088266895917</v>
      </c>
      <c r="Q28" s="75" t="s">
        <v>108</v>
      </c>
      <c r="R28" s="75">
        <f>NORMINV(0.025,$R$26,$R$27)</f>
        <v>3.4509788490910696</v>
      </c>
      <c r="T28" s="69">
        <v>14</v>
      </c>
      <c r="U28" s="77">
        <f t="shared" si="3"/>
        <v>68.208000000000013</v>
      </c>
      <c r="V28" s="84">
        <v>5</v>
      </c>
      <c r="W28" s="79">
        <f t="shared" si="4"/>
        <v>65.77200000000002</v>
      </c>
      <c r="X28" s="80">
        <f t="shared" si="2"/>
        <v>2.231027343471121E-2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40977</v>
      </c>
      <c r="N29" s="57">
        <v>66</v>
      </c>
      <c r="O29" s="58">
        <f t="shared" si="0"/>
        <v>4.1896547420264252</v>
      </c>
      <c r="Q29" s="75" t="s">
        <v>107</v>
      </c>
      <c r="R29" s="75">
        <f>NORMINV(0.01,$R$26,$R$27)</f>
        <v>3.3324825947361933</v>
      </c>
      <c r="T29" s="69">
        <v>15</v>
      </c>
      <c r="U29" s="77">
        <f t="shared" si="3"/>
        <v>73.080000000000013</v>
      </c>
      <c r="V29" s="84">
        <v>7</v>
      </c>
      <c r="W29" s="79">
        <f t="shared" si="4"/>
        <v>70.644000000000005</v>
      </c>
      <c r="X29" s="80">
        <f t="shared" si="2"/>
        <v>3.1234382808595695E-2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41086</v>
      </c>
      <c r="N30" s="57">
        <v>81.2</v>
      </c>
      <c r="O30" s="58">
        <f t="shared" si="0"/>
        <v>4.396915247167632</v>
      </c>
      <c r="Q30" s="75" t="s">
        <v>105</v>
      </c>
      <c r="R30" s="75">
        <f>NORMINV(0.95,$R$26,$R$27)</f>
        <v>4.6168526684237285</v>
      </c>
      <c r="T30" s="69">
        <v>16</v>
      </c>
      <c r="U30" s="77">
        <f t="shared" si="3"/>
        <v>77.952000000000012</v>
      </c>
      <c r="V30" s="84">
        <v>7</v>
      </c>
      <c r="W30" s="79">
        <f t="shared" si="4"/>
        <v>75.51600000000002</v>
      </c>
      <c r="X30" s="80">
        <f t="shared" si="2"/>
        <v>3.1234382808595695E-2</v>
      </c>
    </row>
    <row r="31" spans="1:24" ht="15" customHeight="1" x14ac:dyDescent="0.2">
      <c r="A31" s="65" t="s">
        <v>98</v>
      </c>
      <c r="B31" s="62">
        <f>EXP($R30)-$B$26</f>
        <v>101.17509891498089</v>
      </c>
      <c r="C31" s="62">
        <f>NORMINV(0.025,$R$26,$R$27)</f>
        <v>3.4509788490910696</v>
      </c>
      <c r="E31" s="7" t="e">
        <f>NORMINV(0.98,$E$26,$E$27)</f>
        <v>#DIV/0!</v>
      </c>
      <c r="M31" s="56">
        <v>41164</v>
      </c>
      <c r="N31" s="57">
        <v>57</v>
      </c>
      <c r="O31" s="58">
        <f t="shared" si="0"/>
        <v>4.0430512678345503</v>
      </c>
      <c r="Q31" s="75" t="s">
        <v>106</v>
      </c>
      <c r="R31" s="75">
        <f>NORMINV(0.98,$R$26,$R$27)</f>
        <v>4.749098001605585</v>
      </c>
      <c r="T31" s="69">
        <v>17</v>
      </c>
      <c r="U31" s="77">
        <f t="shared" si="3"/>
        <v>82.824000000000012</v>
      </c>
      <c r="V31" s="84">
        <v>1</v>
      </c>
      <c r="W31" s="79">
        <f t="shared" si="4"/>
        <v>80.388000000000005</v>
      </c>
      <c r="X31" s="80">
        <f t="shared" si="2"/>
        <v>4.4620546869422427E-3</v>
      </c>
    </row>
    <row r="32" spans="1:24" ht="15" customHeight="1" x14ac:dyDescent="0.2">
      <c r="A32" s="65" t="s">
        <v>86</v>
      </c>
      <c r="B32" s="62">
        <f>EXP($R$31)-$B$26</f>
        <v>115.4800746937412</v>
      </c>
      <c r="C32" s="62">
        <f>NORMINV(0.01,$R$26,$R$27)</f>
        <v>3.3324825947361933</v>
      </c>
      <c r="M32" s="56">
        <v>41248</v>
      </c>
      <c r="N32" s="57">
        <v>69.5</v>
      </c>
      <c r="O32" s="58">
        <f t="shared" si="0"/>
        <v>4.2413267525707461</v>
      </c>
      <c r="T32" s="69">
        <v>18</v>
      </c>
      <c r="U32" s="77">
        <f t="shared" si="3"/>
        <v>87.696000000000012</v>
      </c>
      <c r="V32" s="84">
        <v>6</v>
      </c>
      <c r="W32" s="79">
        <f t="shared" si="4"/>
        <v>85.260000000000019</v>
      </c>
      <c r="X32" s="80">
        <f t="shared" si="2"/>
        <v>2.6772328121653456E-2</v>
      </c>
    </row>
    <row r="33" spans="1:24" ht="15" customHeight="1" x14ac:dyDescent="0.2">
      <c r="M33" s="56">
        <v>41338</v>
      </c>
      <c r="N33" s="57">
        <v>68</v>
      </c>
      <c r="O33" s="58">
        <f t="shared" si="0"/>
        <v>4.219507705176107</v>
      </c>
      <c r="T33" s="69">
        <v>19</v>
      </c>
      <c r="U33" s="77">
        <f t="shared" si="3"/>
        <v>92.568000000000012</v>
      </c>
      <c r="V33" s="84">
        <v>1</v>
      </c>
      <c r="W33" s="79">
        <f t="shared" si="4"/>
        <v>90.132000000000005</v>
      </c>
      <c r="X33" s="80">
        <f t="shared" si="2"/>
        <v>4.4620546869422427E-3</v>
      </c>
    </row>
    <row r="34" spans="1:24" ht="15" customHeight="1" x14ac:dyDescent="0.2">
      <c r="M34" s="56">
        <v>41429</v>
      </c>
      <c r="N34" s="57">
        <v>81.599999999999994</v>
      </c>
      <c r="O34" s="58">
        <f t="shared" si="0"/>
        <v>4.401829261970061</v>
      </c>
      <c r="T34" s="69">
        <v>20</v>
      </c>
      <c r="U34" s="77">
        <f t="shared" si="3"/>
        <v>97.440000000000012</v>
      </c>
      <c r="V34" s="84">
        <v>0</v>
      </c>
      <c r="W34" s="79">
        <f t="shared" si="4"/>
        <v>95.004000000000019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41516</v>
      </c>
      <c r="N35" s="57">
        <v>36</v>
      </c>
      <c r="O35" s="58">
        <f t="shared" si="0"/>
        <v>3.5835189384561099</v>
      </c>
      <c r="T35" s="69">
        <v>21</v>
      </c>
      <c r="U35" s="77">
        <f t="shared" si="3"/>
        <v>102.31200000000001</v>
      </c>
      <c r="V35" s="84">
        <v>0</v>
      </c>
      <c r="W35" s="79">
        <f t="shared" si="4"/>
        <v>99.876000000000005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41617</v>
      </c>
      <c r="N36" s="57">
        <v>57.6</v>
      </c>
      <c r="O36" s="58">
        <f t="shared" si="0"/>
        <v>4.0535225677018456</v>
      </c>
      <c r="T36" s="69">
        <v>22</v>
      </c>
      <c r="U36" s="77">
        <f t="shared" si="3"/>
        <v>107.18400000000001</v>
      </c>
      <c r="V36" s="84">
        <v>1</v>
      </c>
      <c r="W36" s="79">
        <f t="shared" si="4"/>
        <v>104.74800000000002</v>
      </c>
      <c r="X36" s="80">
        <f t="shared" si="2"/>
        <v>4.4620546869422427E-3</v>
      </c>
    </row>
    <row r="37" spans="1:24" ht="15.75" x14ac:dyDescent="0.25">
      <c r="A37" s="103" t="s">
        <v>8</v>
      </c>
      <c r="B37" s="52">
        <f>1.05*B11</f>
        <v>121.80000000000001</v>
      </c>
      <c r="D37" s="8"/>
      <c r="E37" s="8"/>
      <c r="M37" s="56">
        <v>41696</v>
      </c>
      <c r="N37" s="57">
        <v>72</v>
      </c>
      <c r="O37" s="58">
        <f t="shared" si="0"/>
        <v>4.2766661190160553</v>
      </c>
      <c r="T37" s="69">
        <v>23</v>
      </c>
      <c r="U37" s="77">
        <f t="shared" si="3"/>
        <v>112.05600000000001</v>
      </c>
      <c r="V37" s="84">
        <v>0</v>
      </c>
      <c r="W37" s="79">
        <f t="shared" si="4"/>
        <v>109.62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4.8720000000000008</v>
      </c>
      <c r="M38" s="56">
        <v>41813</v>
      </c>
      <c r="N38" s="57">
        <v>64.099999999999994</v>
      </c>
      <c r="O38" s="58">
        <f t="shared" si="0"/>
        <v>4.160444363926624</v>
      </c>
      <c r="T38" s="69">
        <v>24</v>
      </c>
      <c r="U38" s="77">
        <f t="shared" si="3"/>
        <v>116.92800000000003</v>
      </c>
      <c r="V38" s="84">
        <v>0</v>
      </c>
      <c r="W38" s="79">
        <f t="shared" si="4"/>
        <v>114.49200000000002</v>
      </c>
      <c r="X38" s="80">
        <f t="shared" si="2"/>
        <v>0</v>
      </c>
    </row>
    <row r="39" spans="1:24" ht="15" x14ac:dyDescent="0.2">
      <c r="M39" s="56">
        <v>41886</v>
      </c>
      <c r="N39" s="57">
        <v>67</v>
      </c>
      <c r="O39" s="58">
        <f t="shared" si="0"/>
        <v>4.2046926193909657</v>
      </c>
      <c r="T39" s="69">
        <v>25</v>
      </c>
      <c r="U39" s="77">
        <f t="shared" si="3"/>
        <v>121.80000000000003</v>
      </c>
      <c r="V39" s="84">
        <v>1</v>
      </c>
      <c r="W39" s="79">
        <f t="shared" si="4"/>
        <v>119.36400000000003</v>
      </c>
      <c r="X39" s="80">
        <f t="shared" si="2"/>
        <v>4.4620546869422427E-3</v>
      </c>
    </row>
    <row r="40" spans="1:24" ht="15" x14ac:dyDescent="0.2">
      <c r="M40" s="56">
        <v>41975</v>
      </c>
      <c r="N40" s="57">
        <v>100</v>
      </c>
      <c r="O40" s="58">
        <f t="shared" si="0"/>
        <v>4.6051701859880918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42046</v>
      </c>
      <c r="N41" s="57">
        <v>83</v>
      </c>
      <c r="O41" s="58">
        <f t="shared" si="0"/>
        <v>4.4188406077965983</v>
      </c>
    </row>
    <row r="42" spans="1:24" ht="15" x14ac:dyDescent="0.2">
      <c r="M42" s="56">
        <v>42156</v>
      </c>
      <c r="N42" s="57">
        <v>77.900000000000006</v>
      </c>
      <c r="O42" s="58">
        <f t="shared" si="0"/>
        <v>4.3554259528767023</v>
      </c>
    </row>
    <row r="43" spans="1:24" ht="15" x14ac:dyDescent="0.2">
      <c r="M43" s="56">
        <v>42254</v>
      </c>
      <c r="N43" s="57">
        <v>45</v>
      </c>
      <c r="O43" s="58">
        <f t="shared" si="0"/>
        <v>3.8066624897703196</v>
      </c>
    </row>
    <row r="44" spans="1:24" ht="15" x14ac:dyDescent="0.2">
      <c r="M44" s="56">
        <v>42332</v>
      </c>
      <c r="N44" s="57">
        <v>78.400000000000006</v>
      </c>
      <c r="O44" s="58">
        <f t="shared" si="0"/>
        <v>4.3618239273563626</v>
      </c>
      <c r="T44" s="83" t="s">
        <v>13</v>
      </c>
    </row>
    <row r="45" spans="1:24" ht="15" x14ac:dyDescent="0.2">
      <c r="M45" s="56">
        <v>42403</v>
      </c>
      <c r="N45" s="57">
        <v>81</v>
      </c>
      <c r="O45" s="58">
        <f t="shared" si="0"/>
        <v>4.3944491546724391</v>
      </c>
      <c r="T45" s="69" t="s">
        <v>26</v>
      </c>
      <c r="U45" s="69" t="s">
        <v>27</v>
      </c>
    </row>
    <row r="46" spans="1:24" ht="15" x14ac:dyDescent="0.2">
      <c r="B46" s="6"/>
      <c r="M46" s="56">
        <v>42508</v>
      </c>
      <c r="N46" s="57">
        <v>116</v>
      </c>
      <c r="O46" s="58">
        <f t="shared" si="0"/>
        <v>4.7535901911063645</v>
      </c>
      <c r="T46" s="85">
        <f>$U$14-$B$38/100</f>
        <v>-4.8720000000000006E-2</v>
      </c>
      <c r="U46" s="28">
        <v>0</v>
      </c>
    </row>
    <row r="47" spans="1:24" ht="15" x14ac:dyDescent="0.2">
      <c r="B47" s="9"/>
      <c r="C47" s="9"/>
      <c r="D47" s="9"/>
      <c r="E47" s="9"/>
      <c r="M47" s="56">
        <v>42579</v>
      </c>
      <c r="N47" s="57">
        <v>71</v>
      </c>
      <c r="O47" s="58">
        <f t="shared" si="0"/>
        <v>4.2626798770413155</v>
      </c>
      <c r="T47" s="85">
        <f>$U$14+$B$38/100</f>
        <v>4.8720000000000006E-2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42696</v>
      </c>
      <c r="N48" s="57">
        <v>51.3</v>
      </c>
      <c r="O48" s="58">
        <f t="shared" si="0"/>
        <v>3.9376907521767239</v>
      </c>
      <c r="T48" s="85">
        <f>$U$15-$B$38/100</f>
        <v>4.8232800000000005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4.9207200000000011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9.6952800000000021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9.792720000000001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14.567280000000004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14.664720000000003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19.439280000000004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19.536720000000003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24.311280000000004</v>
      </c>
      <c r="U56" s="28">
        <f>$X$19</f>
        <v>0</v>
      </c>
    </row>
    <row r="57" spans="5:21" ht="15" x14ac:dyDescent="0.2">
      <c r="E57" s="70">
        <v>1</v>
      </c>
      <c r="F57" s="74">
        <f>$B$21</f>
        <v>98.306355669388807</v>
      </c>
      <c r="G57" s="74">
        <f>$C$21</f>
        <v>26.328426939306858</v>
      </c>
      <c r="H57" s="74">
        <f>$B$22</f>
        <v>105.03391640375774</v>
      </c>
      <c r="I57" s="74">
        <f>$C$22</f>
        <v>19.60086620493793</v>
      </c>
      <c r="J57" s="74">
        <f>$B$31</f>
        <v>101.17509891498089</v>
      </c>
      <c r="K57" s="74">
        <f>$B$32</f>
        <v>115.4800746937412</v>
      </c>
      <c r="M57" s="56"/>
      <c r="N57" s="57"/>
      <c r="O57" s="58" t="b">
        <f t="shared" si="0"/>
        <v>0</v>
      </c>
      <c r="T57" s="85">
        <f>$U$19+$B$38/100</f>
        <v>24.408720000000002</v>
      </c>
      <c r="U57" s="28">
        <f>$X$20</f>
        <v>0</v>
      </c>
    </row>
    <row r="58" spans="5:21" ht="15" x14ac:dyDescent="0.2">
      <c r="E58" s="70">
        <v>51501</v>
      </c>
      <c r="F58" s="74">
        <f>$B$21</f>
        <v>98.306355669388807</v>
      </c>
      <c r="G58" s="74">
        <f>$C$21</f>
        <v>26.328426939306858</v>
      </c>
      <c r="H58" s="74">
        <f>$B$22</f>
        <v>105.03391640375774</v>
      </c>
      <c r="I58" s="74">
        <f>$C$22</f>
        <v>19.60086620493793</v>
      </c>
      <c r="J58" s="74">
        <f>$B$31</f>
        <v>101.17509891498089</v>
      </c>
      <c r="K58" s="74">
        <f>$B$32</f>
        <v>115.4800746937412</v>
      </c>
      <c r="M58" s="56"/>
      <c r="N58" s="57"/>
      <c r="O58" s="58" t="b">
        <f t="shared" si="0"/>
        <v>0</v>
      </c>
      <c r="T58" s="85">
        <f>$U$20-$B$38/100</f>
        <v>29.183280000000007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29.280720000000006</v>
      </c>
      <c r="U59" s="28">
        <f>$X$21</f>
        <v>4.4620546869422427E-3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34.055280000000003</v>
      </c>
      <c r="U60" s="28">
        <f>$X$21</f>
        <v>4.4620546869422427E-3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34.152720000000009</v>
      </c>
      <c r="U61" s="28">
        <f>$X$22</f>
        <v>1.7848218747768971E-2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38.927280000000003</v>
      </c>
      <c r="U62" s="28">
        <f>$X$22</f>
        <v>1.7848218747768971E-2</v>
      </c>
    </row>
    <row r="63" spans="5:21" ht="15" x14ac:dyDescent="0.2">
      <c r="E63" s="72">
        <v>-5</v>
      </c>
      <c r="F63" s="73">
        <f>$B$16+$E63*$B$17</f>
        <v>-29.49287829478088</v>
      </c>
      <c r="G63" s="73">
        <f>NORMDIST($F63,$B$16,$B$17,FALSE)</f>
        <v>8.0966950713997625E-8</v>
      </c>
      <c r="H63" s="73">
        <f>EXP($R$26+$E63*$R$27)</f>
        <v>11.796080017862765</v>
      </c>
      <c r="I63" s="73">
        <f t="shared" ref="I63:I113" si="5">H63-$B$26</f>
        <v>11.796080017862765</v>
      </c>
      <c r="J63" s="73">
        <f>1/$H63/SQRT(2*PI())/$R$27*EXP(-POWER(LN($H63)-$R$26,2)/2/POWER($R$27,2))</f>
        <v>3.8969342498521369E-7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39.024720000000009</v>
      </c>
      <c r="U63" s="28">
        <f>$X$23</f>
        <v>4.4620546869422427E-3</v>
      </c>
    </row>
    <row r="64" spans="5:21" ht="15" x14ac:dyDescent="0.2">
      <c r="E64" s="72">
        <v>-4.8</v>
      </c>
      <c r="F64" s="73">
        <f t="shared" ref="F64:F113" si="6">$B$16+$E64*$B$17</f>
        <v>-25.820467510815732</v>
      </c>
      <c r="G64" s="73">
        <f t="shared" ref="G64:G113" si="7">NORMDIST($F64,$B$16,$B$17,FALSE)</f>
        <v>2.1573289721990255E-7</v>
      </c>
      <c r="H64" s="73">
        <f t="shared" ref="H64:H113" si="8">EXP($R$26+$E64*$R$27)</f>
        <v>12.584318559700193</v>
      </c>
      <c r="I64" s="73">
        <f t="shared" si="5"/>
        <v>12.584318559700193</v>
      </c>
      <c r="J64" s="73">
        <f t="shared" ref="J64:J113" si="9">1/$H64/SQRT(2*PI())/$R$27*EXP(-POWER(LN($H64)-$R$26,2)/2/POWER($R$27,2))</f>
        <v>9.7328420841971643E-7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43.799280000000003</v>
      </c>
      <c r="U64" s="28">
        <f>$X$23</f>
        <v>4.4620546869422427E-3</v>
      </c>
    </row>
    <row r="65" spans="5:21" ht="15" x14ac:dyDescent="0.2">
      <c r="E65" s="72">
        <v>-4.5999999999999996</v>
      </c>
      <c r="F65" s="73">
        <f t="shared" si="6"/>
        <v>-22.148056726850584</v>
      </c>
      <c r="G65" s="73">
        <f t="shared" si="7"/>
        <v>5.5227220820528973E-7</v>
      </c>
      <c r="H65" s="73">
        <f t="shared" si="8"/>
        <v>13.425228836376411</v>
      </c>
      <c r="I65" s="73">
        <f t="shared" si="5"/>
        <v>13.425228836376411</v>
      </c>
      <c r="J65" s="73">
        <f t="shared" si="9"/>
        <v>2.3355248706009192E-6</v>
      </c>
      <c r="K65" s="73">
        <f t="shared" si="10"/>
        <v>2.1124547025028579E-6</v>
      </c>
      <c r="M65" s="56"/>
      <c r="N65" s="57"/>
      <c r="O65" s="58" t="b">
        <f t="shared" si="0"/>
        <v>0</v>
      </c>
      <c r="T65" s="85">
        <f>$U$23+$B$38/100</f>
        <v>43.896720000000009</v>
      </c>
      <c r="U65" s="28">
        <f>$X$24</f>
        <v>8.9241093738844854E-3</v>
      </c>
    </row>
    <row r="66" spans="5:21" ht="15" x14ac:dyDescent="0.2">
      <c r="E66" s="72">
        <v>-4.4000000000000004</v>
      </c>
      <c r="F66" s="73">
        <f t="shared" si="6"/>
        <v>-18.47564594288545</v>
      </c>
      <c r="G66" s="73">
        <f t="shared" si="7"/>
        <v>1.3583704415072449E-6</v>
      </c>
      <c r="H66" s="73">
        <f t="shared" si="8"/>
        <v>14.322330482499044</v>
      </c>
      <c r="I66" s="73">
        <f t="shared" si="5"/>
        <v>14.322330482499044</v>
      </c>
      <c r="J66" s="73">
        <f t="shared" si="9"/>
        <v>5.3846507054573204E-6</v>
      </c>
      <c r="K66" s="73">
        <f t="shared" si="10"/>
        <v>5.412543907703823E-6</v>
      </c>
      <c r="M66" s="56"/>
      <c r="N66" s="57"/>
      <c r="O66" s="58" t="b">
        <f t="shared" si="0"/>
        <v>0</v>
      </c>
      <c r="T66" s="85">
        <f>$U$24-$B$38/100</f>
        <v>48.671280000000003</v>
      </c>
      <c r="U66" s="28">
        <f>$X$24</f>
        <v>8.9241093738844854E-3</v>
      </c>
    </row>
    <row r="67" spans="5:21" ht="15" x14ac:dyDescent="0.2">
      <c r="E67" s="72">
        <v>-4.2</v>
      </c>
      <c r="F67" s="73">
        <f t="shared" si="6"/>
        <v>-14.803235158920288</v>
      </c>
      <c r="G67" s="73">
        <f t="shared" si="7"/>
        <v>3.210047634861712E-6</v>
      </c>
      <c r="H67" s="73">
        <f t="shared" si="8"/>
        <v>15.279378321962941</v>
      </c>
      <c r="I67" s="73">
        <f t="shared" si="5"/>
        <v>15.279378321962941</v>
      </c>
      <c r="J67" s="73">
        <f t="shared" si="9"/>
        <v>1.1927757398828194E-5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48.768720000000009</v>
      </c>
      <c r="U67" s="28">
        <f>$X$25</f>
        <v>8.9241093738844854E-3</v>
      </c>
    </row>
    <row r="68" spans="5:21" ht="15" x14ac:dyDescent="0.2">
      <c r="E68" s="72">
        <v>-4</v>
      </c>
      <c r="F68" s="73">
        <f t="shared" si="6"/>
        <v>-11.130824374955139</v>
      </c>
      <c r="G68" s="73">
        <f t="shared" si="7"/>
        <v>7.2884126334248031E-6</v>
      </c>
      <c r="H68" s="73">
        <f t="shared" si="8"/>
        <v>16.300378083786242</v>
      </c>
      <c r="I68" s="73">
        <f t="shared" si="5"/>
        <v>16.300378083786242</v>
      </c>
      <c r="J68" s="73">
        <f t="shared" si="9"/>
        <v>2.5385649467449264E-5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53.543280000000003</v>
      </c>
      <c r="U68" s="28">
        <f>$X$25</f>
        <v>8.9241093738844854E-3</v>
      </c>
    </row>
    <row r="69" spans="5:21" ht="15" x14ac:dyDescent="0.2">
      <c r="E69" s="72">
        <v>-3.8</v>
      </c>
      <c r="F69" s="73">
        <f t="shared" si="6"/>
        <v>-7.4584135909899913</v>
      </c>
      <c r="G69" s="73">
        <f t="shared" si="7"/>
        <v>1.5899470019322919E-5</v>
      </c>
      <c r="H69" s="73">
        <f t="shared" si="8"/>
        <v>17.389603168111364</v>
      </c>
      <c r="I69" s="73">
        <f t="shared" si="5"/>
        <v>17.389603168111364</v>
      </c>
      <c r="J69" s="73">
        <f t="shared" si="9"/>
        <v>5.1909396665717255E-5</v>
      </c>
      <c r="K69" s="73">
        <f t="shared" si="10"/>
        <v>7.2348043925120125E-5</v>
      </c>
      <c r="M69" s="56"/>
      <c r="N69" s="57"/>
      <c r="O69" s="58" t="b">
        <f t="shared" si="11"/>
        <v>0</v>
      </c>
      <c r="T69" s="85">
        <f>$U$25+$B$38/100</f>
        <v>53.640720000000009</v>
      </c>
      <c r="U69" s="28">
        <f>$X$26</f>
        <v>1.3386164060826728E-2</v>
      </c>
    </row>
    <row r="70" spans="5:21" ht="15" x14ac:dyDescent="0.2">
      <c r="E70" s="72">
        <v>-3.6</v>
      </c>
      <c r="F70" s="73">
        <f t="shared" si="6"/>
        <v>-3.7860028070248433</v>
      </c>
      <c r="G70" s="73">
        <f t="shared" si="7"/>
        <v>3.3324263875137278E-5</v>
      </c>
      <c r="H70" s="73">
        <f t="shared" si="8"/>
        <v>18.551612532544876</v>
      </c>
      <c r="I70" s="73">
        <f t="shared" si="5"/>
        <v>18.551612532544876</v>
      </c>
      <c r="J70" s="73">
        <f t="shared" si="9"/>
        <v>1.0198396768590095E-4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58.41528000000001</v>
      </c>
      <c r="U70" s="28">
        <f>$X$26</f>
        <v>1.3386164060826728E-2</v>
      </c>
    </row>
    <row r="71" spans="5:21" ht="15" x14ac:dyDescent="0.2">
      <c r="E71" s="72">
        <v>-3.4</v>
      </c>
      <c r="F71" s="73">
        <f t="shared" si="6"/>
        <v>-0.11359202305968807</v>
      </c>
      <c r="G71" s="73">
        <f t="shared" si="7"/>
        <v>6.7106826603018365E-5</v>
      </c>
      <c r="H71" s="73">
        <f t="shared" si="8"/>
        <v>19.791269773699771</v>
      </c>
      <c r="I71" s="73">
        <f t="shared" si="5"/>
        <v>19.791269773699771</v>
      </c>
      <c r="J71" s="73">
        <f t="shared" si="9"/>
        <v>1.9250678804692196E-4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58.512720000000016</v>
      </c>
      <c r="U71" s="28">
        <f>$X$27</f>
        <v>1.7848218747768971E-2</v>
      </c>
    </row>
    <row r="72" spans="5:21" ht="15" x14ac:dyDescent="0.2">
      <c r="E72" s="72">
        <v>-3.2</v>
      </c>
      <c r="F72" s="73">
        <f t="shared" si="6"/>
        <v>3.5588187609054529</v>
      </c>
      <c r="G72" s="73">
        <f t="shared" si="7"/>
        <v>1.2983777369756603E-4</v>
      </c>
      <c r="H72" s="73">
        <f t="shared" si="8"/>
        <v>21.113763483805904</v>
      </c>
      <c r="I72" s="73">
        <f t="shared" si="5"/>
        <v>21.113763483805904</v>
      </c>
      <c r="J72" s="73">
        <f t="shared" si="9"/>
        <v>3.4913100001935385E-4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63.28728000000001</v>
      </c>
      <c r="U72" s="28">
        <f>$X$27</f>
        <v>1.7848218747768971E-2</v>
      </c>
    </row>
    <row r="73" spans="5:21" ht="15" x14ac:dyDescent="0.2">
      <c r="E73" s="72">
        <v>-3</v>
      </c>
      <c r="F73" s="73">
        <f t="shared" si="6"/>
        <v>7.231229544870601</v>
      </c>
      <c r="G73" s="73">
        <f t="shared" si="7"/>
        <v>2.4135907841730514E-4</v>
      </c>
      <c r="H73" s="73">
        <f t="shared" si="8"/>
        <v>22.5246289675915</v>
      </c>
      <c r="I73" s="73">
        <f t="shared" si="5"/>
        <v>22.5246289675915</v>
      </c>
      <c r="J73" s="73">
        <f t="shared" si="9"/>
        <v>6.083576835507554E-4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63.384720000000016</v>
      </c>
      <c r="U73" s="28">
        <f>$X$28</f>
        <v>2.231027343471121E-2</v>
      </c>
    </row>
    <row r="74" spans="5:21" ht="15" x14ac:dyDescent="0.2">
      <c r="E74" s="72">
        <v>-2.8</v>
      </c>
      <c r="F74" s="73">
        <f t="shared" si="6"/>
        <v>10.903640328835756</v>
      </c>
      <c r="G74" s="73">
        <f t="shared" si="7"/>
        <v>4.3107658966372786E-4</v>
      </c>
      <c r="H74" s="73">
        <f t="shared" si="8"/>
        <v>24.02977141033158</v>
      </c>
      <c r="I74" s="73">
        <f t="shared" si="5"/>
        <v>24.02977141033158</v>
      </c>
      <c r="J74" s="73">
        <f t="shared" si="9"/>
        <v>1.0184924253850618E-3</v>
      </c>
      <c r="K74" s="73">
        <f t="shared" si="10"/>
        <v>2.5551303304279364E-3</v>
      </c>
      <c r="M74" s="56"/>
      <c r="N74" s="57"/>
      <c r="O74" s="58" t="b">
        <f t="shared" si="11"/>
        <v>0</v>
      </c>
      <c r="T74" s="85">
        <f>$U$28-$B$38/100</f>
        <v>68.15928000000001</v>
      </c>
      <c r="U74" s="28">
        <f>$X$28</f>
        <v>2.231027343471121E-2</v>
      </c>
    </row>
    <row r="75" spans="5:21" ht="15" x14ac:dyDescent="0.2">
      <c r="E75" s="72">
        <v>-2.6</v>
      </c>
      <c r="F75" s="73">
        <f t="shared" si="6"/>
        <v>14.576051112800897</v>
      </c>
      <c r="G75" s="73">
        <f t="shared" si="7"/>
        <v>7.3973038599020277E-4</v>
      </c>
      <c r="H75" s="73">
        <f t="shared" si="8"/>
        <v>25.635490594033605</v>
      </c>
      <c r="I75" s="73">
        <f t="shared" si="5"/>
        <v>25.635490594033605</v>
      </c>
      <c r="J75" s="73">
        <f t="shared" si="9"/>
        <v>1.6382675539378328E-3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68.256720000000016</v>
      </c>
      <c r="U75" s="28">
        <f>$X$29</f>
        <v>3.1234382808595695E-2</v>
      </c>
    </row>
    <row r="76" spans="5:21" ht="15" x14ac:dyDescent="0.2">
      <c r="E76" s="72">
        <v>-2.4</v>
      </c>
      <c r="F76" s="73">
        <f t="shared" si="6"/>
        <v>18.248461896766052</v>
      </c>
      <c r="G76" s="73">
        <f t="shared" si="7"/>
        <v>1.2196092219652638E-3</v>
      </c>
      <c r="H76" s="73">
        <f t="shared" si="8"/>
        <v>27.348507265209875</v>
      </c>
      <c r="I76" s="73">
        <f t="shared" si="5"/>
        <v>27.348507265209875</v>
      </c>
      <c r="J76" s="73">
        <f t="shared" si="9"/>
        <v>2.5318622729720765E-3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73.03128000000001</v>
      </c>
      <c r="U76" s="28">
        <f>$X$29</f>
        <v>3.1234382808595695E-2</v>
      </c>
    </row>
    <row r="77" spans="5:21" ht="15" x14ac:dyDescent="0.2">
      <c r="E77" s="72">
        <v>-2.2000000000000002</v>
      </c>
      <c r="F77" s="73">
        <f t="shared" si="6"/>
        <v>21.920872680731193</v>
      </c>
      <c r="G77" s="73">
        <f t="shared" si="7"/>
        <v>1.9319512403745344E-3</v>
      </c>
      <c r="H77" s="73">
        <f t="shared" si="8"/>
        <v>29.175991264599102</v>
      </c>
      <c r="I77" s="73">
        <f t="shared" si="5"/>
        <v>29.175991264599102</v>
      </c>
      <c r="J77" s="73">
        <f t="shared" si="9"/>
        <v>3.7594433549613224E-3</v>
      </c>
      <c r="K77" s="73">
        <f t="shared" si="10"/>
        <v>1.3903447513498582E-2</v>
      </c>
      <c r="L77" s="16"/>
      <c r="M77" s="56"/>
      <c r="N77" s="57"/>
      <c r="O77" s="58" t="b">
        <f t="shared" si="11"/>
        <v>0</v>
      </c>
      <c r="T77" s="85">
        <f>$U$29+$B$38/100</f>
        <v>73.128720000000015</v>
      </c>
      <c r="U77" s="28">
        <f>$X$30</f>
        <v>3.1234382808595695E-2</v>
      </c>
    </row>
    <row r="78" spans="5:21" ht="15" x14ac:dyDescent="0.2">
      <c r="E78" s="72">
        <v>-2</v>
      </c>
      <c r="F78" s="73">
        <f t="shared" si="6"/>
        <v>25.593283464696349</v>
      </c>
      <c r="G78" s="73">
        <f t="shared" si="7"/>
        <v>2.9403555151797764E-3</v>
      </c>
      <c r="H78" s="73">
        <f t="shared" si="8"/>
        <v>31.125591536574532</v>
      </c>
      <c r="I78" s="73">
        <f t="shared" si="5"/>
        <v>31.125591536574532</v>
      </c>
      <c r="J78" s="73">
        <f t="shared" si="9"/>
        <v>5.3633388281786156E-3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77.903280000000009</v>
      </c>
      <c r="U78" s="28">
        <f>$X$30</f>
        <v>3.1234382808595695E-2</v>
      </c>
    </row>
    <row r="79" spans="5:21" ht="15" x14ac:dyDescent="0.2">
      <c r="E79" s="72">
        <v>-1.8</v>
      </c>
      <c r="F79" s="73">
        <f t="shared" si="6"/>
        <v>29.265694248661497</v>
      </c>
      <c r="G79" s="73">
        <f t="shared" si="7"/>
        <v>4.2996365573053164E-3</v>
      </c>
      <c r="H79" s="73">
        <f t="shared" si="8"/>
        <v>33.205468143842758</v>
      </c>
      <c r="I79" s="73">
        <f t="shared" si="5"/>
        <v>33.205468143842758</v>
      </c>
      <c r="J79" s="73">
        <f t="shared" si="9"/>
        <v>7.3514861580788234E-3</v>
      </c>
      <c r="K79" s="73">
        <f t="shared" si="10"/>
        <v>3.5930319112925838E-2</v>
      </c>
      <c r="L79" s="16"/>
      <c r="M79" s="56"/>
      <c r="N79" s="57"/>
      <c r="O79" s="58" t="b">
        <f t="shared" si="11"/>
        <v>0</v>
      </c>
      <c r="T79" s="85">
        <f>$U$30+$B$38/100</f>
        <v>78.000720000000015</v>
      </c>
      <c r="U79" s="28">
        <f>$X$31</f>
        <v>4.4620546869422427E-3</v>
      </c>
    </row>
    <row r="80" spans="5:21" ht="15" x14ac:dyDescent="0.2">
      <c r="E80" s="72">
        <v>-1.6</v>
      </c>
      <c r="F80" s="73">
        <f t="shared" si="6"/>
        <v>32.938105032626645</v>
      </c>
      <c r="G80" s="73">
        <f t="shared" si="7"/>
        <v>6.040764021485249E-3</v>
      </c>
      <c r="H80" s="73">
        <f t="shared" si="8"/>
        <v>35.424326421431303</v>
      </c>
      <c r="I80" s="73">
        <f t="shared" si="5"/>
        <v>35.424326421431303</v>
      </c>
      <c r="J80" s="73">
        <f t="shared" si="9"/>
        <v>9.6815139172574671E-3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82.775280000000009</v>
      </c>
      <c r="U80" s="28">
        <f>$X$31</f>
        <v>4.4620546869422427E-3</v>
      </c>
    </row>
    <row r="81" spans="5:21" ht="15" x14ac:dyDescent="0.2">
      <c r="E81" s="72">
        <v>-1.4</v>
      </c>
      <c r="F81" s="73">
        <f t="shared" si="6"/>
        <v>36.6105158165918</v>
      </c>
      <c r="G81" s="73">
        <f t="shared" si="7"/>
        <v>8.154178518890106E-3</v>
      </c>
      <c r="H81" s="73">
        <f t="shared" si="8"/>
        <v>37.791453412916496</v>
      </c>
      <c r="I81" s="73">
        <f t="shared" si="5"/>
        <v>37.791453412916496</v>
      </c>
      <c r="J81" s="73">
        <f t="shared" si="9"/>
        <v>1.2250099749550077E-2</v>
      </c>
      <c r="K81" s="73">
        <f t="shared" si="10"/>
        <v>8.0756659233771094E-2</v>
      </c>
      <c r="L81" s="14"/>
      <c r="M81" s="56"/>
      <c r="N81" s="57"/>
      <c r="O81" s="58" t="b">
        <f t="shared" si="11"/>
        <v>0</v>
      </c>
      <c r="T81" s="85">
        <f>$U$31+$B$38/100</f>
        <v>82.872720000000015</v>
      </c>
      <c r="U81" s="28">
        <f>$X$32</f>
        <v>2.6772328121653456E-2</v>
      </c>
    </row>
    <row r="82" spans="5:21" ht="15" x14ac:dyDescent="0.2">
      <c r="E82" s="72">
        <v>-1.2</v>
      </c>
      <c r="F82" s="73">
        <f t="shared" si="6"/>
        <v>40.282926600556948</v>
      </c>
      <c r="G82" s="73">
        <f t="shared" si="7"/>
        <v>1.0575399453192318E-2</v>
      </c>
      <c r="H82" s="73">
        <f t="shared" si="8"/>
        <v>40.316756741395558</v>
      </c>
      <c r="I82" s="73">
        <f t="shared" si="5"/>
        <v>40.316756741395558</v>
      </c>
      <c r="J82" s="73">
        <f t="shared" si="9"/>
        <v>1.4892382998494684E-2</v>
      </c>
      <c r="K82" s="73">
        <f t="shared" si="10"/>
        <v>0.1150696702217081</v>
      </c>
      <c r="L82" s="14"/>
      <c r="M82" s="56"/>
      <c r="N82" s="57"/>
      <c r="O82" s="58" t="b">
        <f t="shared" si="11"/>
        <v>0</v>
      </c>
      <c r="T82" s="85">
        <f>$U$32-$B$38/100</f>
        <v>87.647280000000009</v>
      </c>
      <c r="U82" s="28">
        <f>$X$32</f>
        <v>2.6772328121653456E-2</v>
      </c>
    </row>
    <row r="83" spans="5:21" ht="15" x14ac:dyDescent="0.2">
      <c r="E83" s="72">
        <v>-1</v>
      </c>
      <c r="F83" s="73">
        <f t="shared" si="6"/>
        <v>43.955337384522096</v>
      </c>
      <c r="G83" s="73">
        <f t="shared" si="7"/>
        <v>1.3177759175289456E-2</v>
      </c>
      <c r="H83" s="73">
        <f t="shared" si="8"/>
        <v>43.010806077897925</v>
      </c>
      <c r="I83" s="73">
        <f t="shared" si="5"/>
        <v>43.010806077897925</v>
      </c>
      <c r="J83" s="73">
        <f t="shared" si="9"/>
        <v>1.7394701848578085E-2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87.744720000000015</v>
      </c>
      <c r="U83" s="28">
        <f>$X$33</f>
        <v>4.4620546869422427E-3</v>
      </c>
    </row>
    <row r="84" spans="5:21" ht="15" x14ac:dyDescent="0.2">
      <c r="E84" s="72">
        <v>-0.8</v>
      </c>
      <c r="F84" s="73">
        <f t="shared" si="6"/>
        <v>47.627748168487244</v>
      </c>
      <c r="G84" s="73">
        <f t="shared" si="7"/>
        <v>1.5776642091694281E-2</v>
      </c>
      <c r="H84" s="73">
        <f t="shared" si="8"/>
        <v>45.884877380801584</v>
      </c>
      <c r="I84" s="73">
        <f t="shared" si="5"/>
        <v>45.884877380801584</v>
      </c>
      <c r="J84" s="73">
        <f t="shared" si="9"/>
        <v>1.9520817548193511E-2</v>
      </c>
      <c r="K84" s="73">
        <f t="shared" si="10"/>
        <v>0.2118553985833968</v>
      </c>
      <c r="M84" s="56"/>
      <c r="N84" s="57"/>
      <c r="O84" s="58" t="b">
        <f t="shared" si="11"/>
        <v>0</v>
      </c>
      <c r="T84" s="85">
        <f>$U$33-$B$38/100</f>
        <v>92.519280000000009</v>
      </c>
      <c r="U84" s="28">
        <f>$X$33</f>
        <v>4.4620546869422427E-3</v>
      </c>
    </row>
    <row r="85" spans="5:21" ht="15" x14ac:dyDescent="0.2">
      <c r="E85" s="72">
        <v>-0.6</v>
      </c>
      <c r="F85" s="73">
        <f t="shared" si="6"/>
        <v>51.300158952452392</v>
      </c>
      <c r="G85" s="73">
        <f t="shared" si="7"/>
        <v>1.8147458032024014E-2</v>
      </c>
      <c r="H85" s="73">
        <f t="shared" si="8"/>
        <v>48.951000091419232</v>
      </c>
      <c r="I85" s="73">
        <f t="shared" si="5"/>
        <v>48.951000091419232</v>
      </c>
      <c r="J85" s="73">
        <f t="shared" si="9"/>
        <v>2.1047825581609503E-2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92.616720000000015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54.97256973641754</v>
      </c>
      <c r="G86" s="73">
        <f t="shared" si="7"/>
        <v>2.0056042853991263E-2</v>
      </c>
      <c r="H86" s="73">
        <f t="shared" si="8"/>
        <v>52.22200748329135</v>
      </c>
      <c r="I86" s="73">
        <f t="shared" si="5"/>
        <v>52.22200748329135</v>
      </c>
      <c r="J86" s="73">
        <f t="shared" si="9"/>
        <v>2.1804427626689035E-2</v>
      </c>
      <c r="K86" s="73">
        <f t="shared" si="10"/>
        <v>0.34457825838967593</v>
      </c>
      <c r="M86" s="56"/>
      <c r="N86" s="57"/>
      <c r="O86" s="58" t="b">
        <f t="shared" si="11"/>
        <v>0</v>
      </c>
      <c r="T86" s="85">
        <f>$U$34-$B$38/100</f>
        <v>97.391280000000009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58.644980520382688</v>
      </c>
      <c r="G87" s="73">
        <f t="shared" si="7"/>
        <v>2.1296239281447818E-2</v>
      </c>
      <c r="H87" s="73">
        <f t="shared" si="8"/>
        <v>55.711590375923393</v>
      </c>
      <c r="I87" s="73">
        <f t="shared" si="5"/>
        <v>55.711590375923393</v>
      </c>
      <c r="J87" s="73">
        <f t="shared" si="9"/>
        <v>2.1702530043610335E-2</v>
      </c>
      <c r="K87" s="73">
        <f t="shared" si="10"/>
        <v>0.42074029056089673</v>
      </c>
      <c r="M87" s="56"/>
      <c r="N87" s="57"/>
      <c r="O87" s="58" t="b">
        <f t="shared" si="11"/>
        <v>0</v>
      </c>
      <c r="T87" s="85">
        <f>$U$34+$B$38/100</f>
        <v>97.488720000000015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62.317391304347836</v>
      </c>
      <c r="G88" s="73">
        <f t="shared" si="7"/>
        <v>2.17264518524635E-2</v>
      </c>
      <c r="H88" s="73">
        <f t="shared" si="8"/>
        <v>59.434354437786588</v>
      </c>
      <c r="I88" s="73">
        <f t="shared" si="5"/>
        <v>59.434354437786588</v>
      </c>
      <c r="J88" s="73">
        <f t="shared" si="9"/>
        <v>2.0754117068366981E-2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102.26328000000001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65.989802088312985</v>
      </c>
      <c r="G89" s="73">
        <f t="shared" si="7"/>
        <v>2.1296239281447818E-2</v>
      </c>
      <c r="H89" s="73">
        <f t="shared" si="8"/>
        <v>63.40588131842383</v>
      </c>
      <c r="I89" s="73">
        <f t="shared" si="5"/>
        <v>63.40588131842383</v>
      </c>
      <c r="J89" s="73">
        <f t="shared" si="9"/>
        <v>1.9068932388760392E-2</v>
      </c>
      <c r="K89" s="73">
        <f t="shared" si="10"/>
        <v>0.57925970943910321</v>
      </c>
      <c r="M89" s="56"/>
      <c r="N89" s="57"/>
      <c r="O89" s="58" t="b">
        <f t="shared" si="11"/>
        <v>0</v>
      </c>
      <c r="T89" s="85">
        <f>$U$35+$B$38/100</f>
        <v>102.36072000000001</v>
      </c>
      <c r="U89" s="28">
        <f>$X$36</f>
        <v>4.4620546869422427E-3</v>
      </c>
    </row>
    <row r="90" spans="5:21" ht="15" x14ac:dyDescent="0.2">
      <c r="E90" s="72">
        <v>0.4</v>
      </c>
      <c r="F90" s="73">
        <f t="shared" si="6"/>
        <v>69.662212872278133</v>
      </c>
      <c r="G90" s="73">
        <f t="shared" si="7"/>
        <v>2.0056042853991263E-2</v>
      </c>
      <c r="H90" s="73">
        <f t="shared" si="8"/>
        <v>67.642793865530024</v>
      </c>
      <c r="I90" s="73">
        <f t="shared" si="5"/>
        <v>67.642793865530024</v>
      </c>
      <c r="J90" s="73">
        <f t="shared" si="9"/>
        <v>1.683358888093019E-2</v>
      </c>
      <c r="K90" s="73">
        <f t="shared" si="10"/>
        <v>0.65542174161032452</v>
      </c>
      <c r="M90" s="56"/>
      <c r="N90" s="57"/>
      <c r="O90" s="58" t="b">
        <f t="shared" si="11"/>
        <v>0</v>
      </c>
      <c r="T90" s="85">
        <f>$U$36-$B$38/100</f>
        <v>107.13528000000001</v>
      </c>
      <c r="U90" s="28">
        <f>$X$36</f>
        <v>4.4620546869422427E-3</v>
      </c>
    </row>
    <row r="91" spans="5:21" ht="15" x14ac:dyDescent="0.2">
      <c r="E91" s="72">
        <v>0.6</v>
      </c>
      <c r="F91" s="73">
        <f t="shared" si="6"/>
        <v>73.334623656243281</v>
      </c>
      <c r="G91" s="73">
        <f t="shared" si="7"/>
        <v>1.8147458032024014E-2</v>
      </c>
      <c r="H91" s="73">
        <f t="shared" si="8"/>
        <v>72.162825699972842</v>
      </c>
      <c r="I91" s="73">
        <f t="shared" si="5"/>
        <v>72.162825699972842</v>
      </c>
      <c r="J91" s="73">
        <f t="shared" si="9"/>
        <v>1.4277602102961046E-2</v>
      </c>
      <c r="K91" s="73">
        <f t="shared" si="10"/>
        <v>0.72574688224992612</v>
      </c>
      <c r="M91" s="56"/>
      <c r="N91" s="57"/>
      <c r="O91" s="58" t="b">
        <f t="shared" si="11"/>
        <v>0</v>
      </c>
      <c r="T91" s="85">
        <f>$U$36+$B$38/100</f>
        <v>107.23272000000001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77.007034440208614</v>
      </c>
      <c r="G92" s="73">
        <f t="shared" si="7"/>
        <v>1.5776642091694153E-2</v>
      </c>
      <c r="H92" s="73">
        <f t="shared" si="8"/>
        <v>76.984895439961278</v>
      </c>
      <c r="I92" s="73">
        <f t="shared" si="5"/>
        <v>76.984895439961278</v>
      </c>
      <c r="J92" s="73">
        <f t="shared" si="9"/>
        <v>1.1634883887975074E-2</v>
      </c>
      <c r="K92" s="73">
        <f t="shared" si="10"/>
        <v>0.78814460141660636</v>
      </c>
      <c r="M92" s="56"/>
      <c r="N92" s="57"/>
      <c r="O92" s="58" t="b">
        <f t="shared" si="11"/>
        <v>0</v>
      </c>
      <c r="T92" s="85">
        <f>$U$37-$B$38/100</f>
        <v>112.00728000000001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80.679445224173762</v>
      </c>
      <c r="G93" s="73">
        <f t="shared" si="7"/>
        <v>1.3177759175289325E-2</v>
      </c>
      <c r="H93" s="73">
        <f t="shared" si="8"/>
        <v>82.129185885025294</v>
      </c>
      <c r="I93" s="73">
        <f t="shared" si="5"/>
        <v>82.129185885025294</v>
      </c>
      <c r="J93" s="73">
        <f t="shared" si="9"/>
        <v>9.1095527117412856E-3</v>
      </c>
      <c r="K93" s="73">
        <f t="shared" si="10"/>
        <v>0.84134474606854559</v>
      </c>
      <c r="M93" s="56"/>
      <c r="N93" s="57"/>
      <c r="O93" s="58" t="b">
        <f t="shared" si="11"/>
        <v>0</v>
      </c>
      <c r="T93" s="85">
        <f>$U$37+$B$38/100</f>
        <v>112.10472000000001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84.35185600813891</v>
      </c>
      <c r="G94" s="73">
        <f t="shared" si="7"/>
        <v>1.057539945319219E-2</v>
      </c>
      <c r="H94" s="73">
        <f t="shared" si="8"/>
        <v>87.617228491236418</v>
      </c>
      <c r="I94" s="73">
        <f t="shared" si="5"/>
        <v>87.617228491236418</v>
      </c>
      <c r="J94" s="73">
        <f t="shared" si="9"/>
        <v>6.8526771844883601E-3</v>
      </c>
      <c r="K94" s="73">
        <f t="shared" si="10"/>
        <v>0.88493032977829345</v>
      </c>
      <c r="M94" s="56"/>
      <c r="N94" s="57"/>
      <c r="O94" s="58" t="b">
        <f t="shared" si="11"/>
        <v>0</v>
      </c>
      <c r="T94" s="85">
        <f>$U$38-$B$38/100</f>
        <v>116.87928000000002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88.024266792104058</v>
      </c>
      <c r="G95" s="73">
        <f t="shared" si="7"/>
        <v>8.1541785188899915E-3</v>
      </c>
      <c r="H95" s="73">
        <f t="shared" si="8"/>
        <v>93.471993491235295</v>
      </c>
      <c r="I95" s="73">
        <f t="shared" si="5"/>
        <v>93.471993491235295</v>
      </c>
      <c r="J95" s="73">
        <f t="shared" si="9"/>
        <v>4.9528105339072016E-3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116.97672000000003</v>
      </c>
      <c r="U95" s="28">
        <f>$X$39</f>
        <v>4.4620546869422427E-3</v>
      </c>
    </row>
    <row r="96" spans="5:21" ht="15" x14ac:dyDescent="0.2">
      <c r="E96" s="72">
        <v>1.6000000000000101</v>
      </c>
      <c r="F96" s="73">
        <f t="shared" si="6"/>
        <v>91.69667757606922</v>
      </c>
      <c r="G96" s="73">
        <f t="shared" si="7"/>
        <v>6.0407640214851475E-3</v>
      </c>
      <c r="H96" s="73">
        <f t="shared" si="8"/>
        <v>99.717986036267064</v>
      </c>
      <c r="I96" s="73">
        <f t="shared" si="5"/>
        <v>99.717986036267064</v>
      </c>
      <c r="J96" s="73">
        <f t="shared" si="9"/>
        <v>3.4393104282493207E-3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121.75128000000002</v>
      </c>
      <c r="U96" s="28">
        <f>$X$39</f>
        <v>4.4620546869422427E-3</v>
      </c>
    </row>
    <row r="97" spans="5:21" ht="15" x14ac:dyDescent="0.2">
      <c r="E97" s="72">
        <v>1.80000000000001</v>
      </c>
      <c r="F97" s="73">
        <f t="shared" si="6"/>
        <v>95.369088360034368</v>
      </c>
      <c r="G97" s="73">
        <f t="shared" si="7"/>
        <v>4.2996365573052366E-3</v>
      </c>
      <c r="H97" s="73">
        <f t="shared" si="8"/>
        <v>106.38134876262752</v>
      </c>
      <c r="I97" s="73">
        <f t="shared" si="5"/>
        <v>106.38134876262752</v>
      </c>
      <c r="J97" s="73">
        <f t="shared" si="9"/>
        <v>2.2946648286691004E-3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121.84872000000003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99.041499143999516</v>
      </c>
      <c r="G98" s="73">
        <f t="shared" si="7"/>
        <v>2.9403555151797135E-3</v>
      </c>
      <c r="H98" s="73">
        <f t="shared" si="8"/>
        <v>113.48997121181173</v>
      </c>
      <c r="I98" s="73">
        <f t="shared" si="5"/>
        <v>113.48997121181173</v>
      </c>
      <c r="J98" s="73">
        <f t="shared" si="9"/>
        <v>1.4709413691415209E-3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102.71390992796466</v>
      </c>
      <c r="G99" s="73">
        <f t="shared" si="7"/>
        <v>1.9319512403744904E-3</v>
      </c>
      <c r="H99" s="73">
        <f t="shared" si="8"/>
        <v>121.0736065623438</v>
      </c>
      <c r="I99" s="73">
        <f t="shared" si="5"/>
        <v>121.0736065623438</v>
      </c>
      <c r="J99" s="73">
        <f t="shared" si="9"/>
        <v>9.0594052327684583E-4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106.38632071192981</v>
      </c>
      <c r="G100" s="73">
        <f t="shared" si="7"/>
        <v>1.2196092219652331E-3</v>
      </c>
      <c r="H100" s="73">
        <f t="shared" si="8"/>
        <v>129.16399616187039</v>
      </c>
      <c r="I100" s="73">
        <f t="shared" si="5"/>
        <v>129.16399616187039</v>
      </c>
      <c r="J100" s="73">
        <f t="shared" si="9"/>
        <v>5.3608324164970895E-4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110.05873149589496</v>
      </c>
      <c r="G101" s="73">
        <f t="shared" si="7"/>
        <v>7.3973038599018303E-4</v>
      </c>
      <c r="H101" s="73">
        <f t="shared" si="8"/>
        <v>137.79500238074601</v>
      </c>
      <c r="I101" s="73">
        <f t="shared" si="5"/>
        <v>137.79500238074601</v>
      </c>
      <c r="J101" s="73">
        <f t="shared" si="9"/>
        <v>3.0478458393895297E-4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113.73114227986011</v>
      </c>
      <c r="G102" s="73">
        <f t="shared" si="7"/>
        <v>4.3107658966371495E-4</v>
      </c>
      <c r="H102" s="73">
        <f t="shared" si="8"/>
        <v>147.00275034317156</v>
      </c>
      <c r="I102" s="73">
        <f t="shared" si="5"/>
        <v>147.00275034317156</v>
      </c>
      <c r="J102" s="73">
        <f t="shared" si="9"/>
        <v>1.6648763446957729E-4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117.40355306382526</v>
      </c>
      <c r="G103" s="73">
        <f t="shared" si="7"/>
        <v>2.4135907841729787E-4</v>
      </c>
      <c r="H103" s="73">
        <f t="shared" si="8"/>
        <v>156.82577912910099</v>
      </c>
      <c r="I103" s="73">
        <f t="shared" si="5"/>
        <v>156.82577912910099</v>
      </c>
      <c r="J103" s="73">
        <f t="shared" si="9"/>
        <v>8.7377414463748654E-5</v>
      </c>
      <c r="K103" s="73">
        <f t="shared" si="10"/>
        <v>0.99865010196837001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121.0759638477904</v>
      </c>
      <c r="G104" s="73">
        <f t="shared" si="7"/>
        <v>1.2983777369756191E-4</v>
      </c>
      <c r="H104" s="73">
        <f t="shared" si="8"/>
        <v>167.30520307977343</v>
      </c>
      <c r="I104" s="73">
        <f t="shared" si="5"/>
        <v>167.30520307977343</v>
      </c>
      <c r="J104" s="73">
        <f t="shared" si="9"/>
        <v>4.406001262111537E-5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124.74837463175555</v>
      </c>
      <c r="G105" s="73">
        <f t="shared" si="7"/>
        <v>6.7106826603016047E-5</v>
      </c>
      <c r="H105" s="73">
        <f t="shared" si="8"/>
        <v>178.48488388201582</v>
      </c>
      <c r="I105" s="73">
        <f t="shared" si="5"/>
        <v>178.48488388201582</v>
      </c>
      <c r="J105" s="73">
        <f t="shared" si="9"/>
        <v>2.1346086529229276E-5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128.4207854157207</v>
      </c>
      <c r="G106" s="73">
        <f t="shared" si="7"/>
        <v>3.3324263875136065E-5</v>
      </c>
      <c r="H106" s="73">
        <f t="shared" si="8"/>
        <v>190.41161415157475</v>
      </c>
      <c r="I106" s="73">
        <f t="shared" si="5"/>
        <v>190.41161415157475</v>
      </c>
      <c r="J106" s="73">
        <f t="shared" si="9"/>
        <v>9.9361956541908784E-6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132.09319619968585</v>
      </c>
      <c r="G107" s="73">
        <f t="shared" si="7"/>
        <v>1.5899470019322309E-5</v>
      </c>
      <c r="H107" s="73">
        <f t="shared" si="8"/>
        <v>203.13531328386853</v>
      </c>
      <c r="I107" s="73">
        <f t="shared" si="5"/>
        <v>203.13531328386853</v>
      </c>
      <c r="J107" s="73">
        <f t="shared" si="9"/>
        <v>4.4437562042766304E-6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135.765606983651</v>
      </c>
      <c r="G108" s="73">
        <f t="shared" si="7"/>
        <v>7.2884126334245176E-6</v>
      </c>
      <c r="H108" s="73">
        <f t="shared" si="8"/>
        <v>216.70923639189238</v>
      </c>
      <c r="I108" s="73">
        <f t="shared" si="5"/>
        <v>216.70923639189238</v>
      </c>
      <c r="J108" s="73">
        <f t="shared" si="9"/>
        <v>1.9094510742198926E-6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139.43801776761615</v>
      </c>
      <c r="G109" s="73">
        <f t="shared" si="7"/>
        <v>3.2100476348615807E-6</v>
      </c>
      <c r="H109" s="73">
        <f t="shared" si="8"/>
        <v>231.190197205788</v>
      </c>
      <c r="I109" s="73">
        <f t="shared" si="5"/>
        <v>231.190197205788</v>
      </c>
      <c r="J109" s="73">
        <f t="shared" si="9"/>
        <v>7.8830642489160503E-7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143.11042855158129</v>
      </c>
      <c r="G110" s="73">
        <f t="shared" si="7"/>
        <v>1.358370441507187E-6</v>
      </c>
      <c r="H110" s="73">
        <f t="shared" si="8"/>
        <v>246.63880586702464</v>
      </c>
      <c r="I110" s="73">
        <f t="shared" si="5"/>
        <v>246.63880586702464</v>
      </c>
      <c r="J110" s="73">
        <f t="shared" si="9"/>
        <v>3.1268699451114826E-7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146.78283933554644</v>
      </c>
      <c r="G111" s="73">
        <f t="shared" si="7"/>
        <v>5.5227220820526221E-7</v>
      </c>
      <c r="H111" s="73">
        <f t="shared" si="8"/>
        <v>263.11972261248189</v>
      </c>
      <c r="I111" s="73">
        <f t="shared" si="5"/>
        <v>263.11972261248189</v>
      </c>
      <c r="J111" s="73">
        <f t="shared" si="9"/>
        <v>1.1916611772597208E-7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150.45525011951159</v>
      </c>
      <c r="G112" s="73">
        <f t="shared" si="7"/>
        <v>2.1573289721989252E-7</v>
      </c>
      <c r="H112" s="73">
        <f t="shared" si="8"/>
        <v>280.70192841022697</v>
      </c>
      <c r="I112" s="73">
        <f t="shared" si="5"/>
        <v>280.70192841022697</v>
      </c>
      <c r="J112" s="73">
        <f t="shared" si="9"/>
        <v>4.3633895204235785E-8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154.12766090347657</v>
      </c>
      <c r="G113" s="73">
        <f t="shared" si="7"/>
        <v>8.0966950713997334E-8</v>
      </c>
      <c r="H113" s="73">
        <f t="shared" si="8"/>
        <v>299.45901367973732</v>
      </c>
      <c r="I113" s="73">
        <f t="shared" si="5"/>
        <v>299.45901367973732</v>
      </c>
      <c r="J113" s="73">
        <f t="shared" si="9"/>
        <v>1.5350530835838469E-8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0.43646896176313216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-127.53833894346059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4.7108976663871715E-3</v>
      </c>
      <c r="H120" s="69" t="s">
        <v>50</v>
      </c>
      <c r="I120" s="79">
        <f>IF($B$9&gt;3,INDEX(XX!$C$4:$C$150,$B$9))</f>
        <v>0.28160000000000002</v>
      </c>
      <c r="J120" s="79">
        <f>IF($B$9&gt;3,INDEX(XX!$D$4:$D$150,$B$9))</f>
        <v>0.36459999999999998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27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-127.41114470646814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42696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73.598147820606073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ignoredErrors>
    <ignoredError sqref="B3:C4" unlockedFormula="1"/>
  </ignoredErrors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A54" sqref="A54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61" t="s">
        <v>153</v>
      </c>
      <c r="B1" s="162"/>
      <c r="C1" s="162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63"/>
      <c r="B2" s="162"/>
      <c r="C2" s="162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36526</v>
      </c>
      <c r="N3" s="57">
        <v>8</v>
      </c>
      <c r="O3" s="58">
        <f t="shared" ref="O3:O66" si="0">IF($N3&gt;0,LN($N3+$B$26))</f>
        <v>2.0794415416798357</v>
      </c>
      <c r="T3" s="69" t="s">
        <v>109</v>
      </c>
      <c r="U3" s="82">
        <f>$B$21</f>
        <v>11.706967594057749</v>
      </c>
      <c r="V3" s="82">
        <f t="shared" ref="V3:V10" si="1">U3</f>
        <v>11.706967594057749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36892</v>
      </c>
      <c r="N4" s="57">
        <v>10</v>
      </c>
      <c r="O4" s="58">
        <f t="shared" si="0"/>
        <v>2.3025850929940459</v>
      </c>
      <c r="T4" s="69" t="s">
        <v>111</v>
      </c>
      <c r="U4" s="82">
        <f>$B$31</f>
        <v>11.485344225747488</v>
      </c>
      <c r="V4" s="82">
        <f t="shared" si="1"/>
        <v>11.485344225747488</v>
      </c>
    </row>
    <row r="5" spans="1:24" ht="15" customHeight="1" x14ac:dyDescent="0.2">
      <c r="A5" s="97" t="s">
        <v>70</v>
      </c>
      <c r="B5" s="133" t="s">
        <v>71</v>
      </c>
      <c r="C5" s="18"/>
      <c r="D5" s="4"/>
      <c r="M5" s="56">
        <v>37257</v>
      </c>
      <c r="N5" s="57">
        <v>11</v>
      </c>
      <c r="O5" s="58">
        <f t="shared" si="0"/>
        <v>2.3978952727983707</v>
      </c>
      <c r="T5" s="69" t="s">
        <v>110</v>
      </c>
      <c r="U5" s="82">
        <f>$B$22</f>
        <v>12.150680519170821</v>
      </c>
      <c r="V5" s="82">
        <f t="shared" si="1"/>
        <v>12.150680519170821</v>
      </c>
    </row>
    <row r="6" spans="1:24" ht="15" customHeight="1" x14ac:dyDescent="0.2">
      <c r="A6" s="107" t="s">
        <v>18</v>
      </c>
      <c r="B6" s="133">
        <v>5</v>
      </c>
      <c r="C6" s="18"/>
      <c r="M6" s="56">
        <v>37622</v>
      </c>
      <c r="N6" s="57">
        <v>9</v>
      </c>
      <c r="O6" s="58">
        <f t="shared" si="0"/>
        <v>2.1972245773362196</v>
      </c>
      <c r="T6" s="69" t="s">
        <v>29</v>
      </c>
      <c r="U6" s="82">
        <f>$B$32</f>
        <v>12.114525493039908</v>
      </c>
      <c r="V6" s="82">
        <f t="shared" si="1"/>
        <v>12.114525493039908</v>
      </c>
    </row>
    <row r="7" spans="1:24" ht="15" customHeight="1" x14ac:dyDescent="0.2">
      <c r="D7" s="4"/>
      <c r="F7" s="5"/>
      <c r="M7" s="56">
        <v>37987</v>
      </c>
      <c r="N7" s="57">
        <v>10</v>
      </c>
      <c r="O7" s="58">
        <f t="shared" si="0"/>
        <v>2.3025850929940459</v>
      </c>
      <c r="T7" s="69" t="s">
        <v>31</v>
      </c>
      <c r="U7" s="82">
        <f>$C$21</f>
        <v>6.9596990726089176</v>
      </c>
      <c r="V7" s="82">
        <f t="shared" si="1"/>
        <v>6.9596990726089176</v>
      </c>
    </row>
    <row r="8" spans="1:24" ht="15" customHeight="1" x14ac:dyDescent="0.25">
      <c r="A8" s="140" t="s">
        <v>12</v>
      </c>
      <c r="B8" s="140"/>
      <c r="C8" s="140"/>
      <c r="D8" s="4"/>
      <c r="M8" s="56">
        <v>38353</v>
      </c>
      <c r="N8" s="57">
        <v>8</v>
      </c>
      <c r="O8" s="58">
        <f t="shared" si="0"/>
        <v>2.0794415416798357</v>
      </c>
      <c r="T8" s="69" t="s">
        <v>32</v>
      </c>
      <c r="U8" s="82">
        <f>$C$31</f>
        <v>1.9708851555327525</v>
      </c>
      <c r="V8" s="82">
        <f t="shared" si="1"/>
        <v>1.9708851555327525</v>
      </c>
    </row>
    <row r="9" spans="1:24" ht="15" customHeight="1" x14ac:dyDescent="0.2">
      <c r="A9" s="101" t="s">
        <v>11</v>
      </c>
      <c r="B9" s="59">
        <f>COUNT($M$3:$M252)</f>
        <v>6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>
        <f>$C$22</f>
        <v>6.5159861474958465</v>
      </c>
      <c r="V9" s="82">
        <f t="shared" si="1"/>
        <v>6.5159861474958465</v>
      </c>
    </row>
    <row r="10" spans="1:24" ht="15" customHeight="1" x14ac:dyDescent="0.2">
      <c r="A10" s="102" t="s">
        <v>7</v>
      </c>
      <c r="B10" s="61">
        <f>MIN($N$3:$N$252)</f>
        <v>8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>
        <f>$C$32</f>
        <v>1.9230966588900904</v>
      </c>
      <c r="V10" s="82">
        <f t="shared" si="1"/>
        <v>1.9230966588900904</v>
      </c>
    </row>
    <row r="11" spans="1:24" ht="15" customHeight="1" x14ac:dyDescent="0.2">
      <c r="A11" s="102" t="s">
        <v>8</v>
      </c>
      <c r="B11" s="61">
        <f>MAX($N$3:$N$252)</f>
        <v>11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>
        <f>$B$12</f>
        <v>9.5</v>
      </c>
      <c r="V11" s="82">
        <f>U11</f>
        <v>9.5</v>
      </c>
    </row>
    <row r="12" spans="1:24" ht="15" customHeight="1" x14ac:dyDescent="0.2">
      <c r="A12" s="102" t="s">
        <v>68</v>
      </c>
      <c r="B12" s="62">
        <f>MEDIAN($N$3:$N$252)</f>
        <v>9.5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7.6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7.758</v>
      </c>
      <c r="V15" s="84">
        <f>FREQUENCY($N$3:$N$252,$U$15:$U$39)</f>
        <v>0</v>
      </c>
      <c r="W15" s="79">
        <f t="shared" ref="W15:W39" si="4">(U15+U14)/2</f>
        <v>7.6790000000000003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9.3333333333333339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7.9159999999999995</v>
      </c>
      <c r="V16" s="84">
        <f t="array" ref="V16:V40">FREQUENCY($N$3:$N$252,$U$15:$U$39)</f>
        <v>0</v>
      </c>
      <c r="W16" s="79">
        <f t="shared" si="4"/>
        <v>7.8369999999999997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1.2110601416389999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8.0739999999999998</v>
      </c>
      <c r="V17" s="84">
        <v>0</v>
      </c>
      <c r="W17" s="79">
        <f t="shared" si="4"/>
        <v>7.9949999999999992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-0.14423127460051016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8.2319999999999993</v>
      </c>
      <c r="V18" s="84">
        <v>2</v>
      </c>
      <c r="W18" s="79">
        <f t="shared" si="4"/>
        <v>8.1529999999999987</v>
      </c>
      <c r="X18" s="80">
        <f t="shared" si="2"/>
        <v>2.1097046413502105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8.39</v>
      </c>
      <c r="V19" s="84">
        <v>0</v>
      </c>
      <c r="W19" s="79">
        <f t="shared" si="4"/>
        <v>8.3109999999999999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8.548</v>
      </c>
      <c r="V20" s="84">
        <v>0</v>
      </c>
      <c r="W20" s="79">
        <f t="shared" si="4"/>
        <v>8.4690000000000012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11.706967594057749</v>
      </c>
      <c r="C21" s="62">
        <f>NORMINV(0.025,$B$16,$B$17)</f>
        <v>6.9596990726089176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8.7059999999999995</v>
      </c>
      <c r="V21" s="84">
        <v>0</v>
      </c>
      <c r="W21" s="79">
        <f t="shared" si="4"/>
        <v>8.6269999999999989</v>
      </c>
      <c r="X21" s="80">
        <f t="shared" si="2"/>
        <v>0</v>
      </c>
    </row>
    <row r="22" spans="1:24" ht="15" customHeight="1" x14ac:dyDescent="0.2">
      <c r="A22" s="104" t="s">
        <v>77</v>
      </c>
      <c r="B22" s="62">
        <f>NORMINV(0.99,$B$16,$B$17)</f>
        <v>12.150680519170821</v>
      </c>
      <c r="C22" s="62">
        <f>NORMINV(0.01,B16,B17)</f>
        <v>6.5159861474958465</v>
      </c>
      <c r="M22" s="56"/>
      <c r="N22" s="57"/>
      <c r="O22" s="58" t="b">
        <f t="shared" si="0"/>
        <v>0</v>
      </c>
      <c r="T22" s="69">
        <v>8</v>
      </c>
      <c r="U22" s="77">
        <f t="shared" si="3"/>
        <v>8.8640000000000008</v>
      </c>
      <c r="V22" s="84">
        <v>0</v>
      </c>
      <c r="W22" s="79">
        <f t="shared" si="4"/>
        <v>8.7850000000000001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14.650680519170821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9.0220000000000002</v>
      </c>
      <c r="V23" s="84">
        <v>0</v>
      </c>
      <c r="W23" s="79">
        <f t="shared" si="4"/>
        <v>8.9430000000000014</v>
      </c>
      <c r="X23" s="80">
        <f t="shared" si="2"/>
        <v>0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9.18</v>
      </c>
      <c r="V24" s="84">
        <v>1</v>
      </c>
      <c r="W24" s="79">
        <f t="shared" si="4"/>
        <v>9.1009999999999991</v>
      </c>
      <c r="X24" s="80">
        <f t="shared" si="2"/>
        <v>1.0548523206751053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>
        <f>MEDIAN($O$3:$O$252)</f>
        <v>2.2499048351651325</v>
      </c>
      <c r="T25" s="69">
        <v>11</v>
      </c>
      <c r="U25" s="77">
        <f t="shared" si="3"/>
        <v>9.338000000000001</v>
      </c>
      <c r="V25" s="84">
        <v>0</v>
      </c>
      <c r="W25" s="79">
        <f t="shared" si="4"/>
        <v>9.2590000000000003</v>
      </c>
      <c r="X25" s="80">
        <f t="shared" si="2"/>
        <v>0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>
        <f>AVERAGE($O$3:$O$252)</f>
        <v>2.2265288532470593</v>
      </c>
      <c r="T26" s="69">
        <v>12</v>
      </c>
      <c r="U26" s="77">
        <f t="shared" si="3"/>
        <v>9.4960000000000004</v>
      </c>
      <c r="V26" s="84">
        <v>0</v>
      </c>
      <c r="W26" s="79">
        <f t="shared" si="4"/>
        <v>9.4170000000000016</v>
      </c>
      <c r="X26" s="80">
        <f t="shared" si="2"/>
        <v>0</v>
      </c>
    </row>
    <row r="27" spans="1:24" ht="15" customHeight="1" x14ac:dyDescent="0.2">
      <c r="A27" s="65" t="s">
        <v>17</v>
      </c>
      <c r="B27" s="62">
        <f>EXP($R$26)</f>
        <v>9.2676408411611266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>
        <f>STDEV($O$3:$O$252)</f>
        <v>0.13043285475181773</v>
      </c>
      <c r="T27" s="69">
        <v>13</v>
      </c>
      <c r="U27" s="77">
        <f t="shared" si="3"/>
        <v>9.6539999999999999</v>
      </c>
      <c r="V27" s="84">
        <v>0</v>
      </c>
      <c r="W27" s="79">
        <f t="shared" si="4"/>
        <v>9.5749999999999993</v>
      </c>
      <c r="X27" s="80">
        <f t="shared" si="2"/>
        <v>0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-0.18782753791635265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>
        <f>NORMINV(0.025,$R$26,$R$27)</f>
        <v>1.9708851555327525</v>
      </c>
      <c r="T28" s="69">
        <v>14</v>
      </c>
      <c r="U28" s="77">
        <f t="shared" si="3"/>
        <v>9.8120000000000012</v>
      </c>
      <c r="V28" s="84">
        <v>0</v>
      </c>
      <c r="W28" s="79">
        <f t="shared" si="4"/>
        <v>9.7330000000000005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/>
      <c r="N29" s="57"/>
      <c r="O29" s="58" t="b">
        <f t="shared" si="0"/>
        <v>0</v>
      </c>
      <c r="Q29" s="75" t="s">
        <v>107</v>
      </c>
      <c r="R29" s="75">
        <f>NORMINV(0.01,$R$26,$R$27)</f>
        <v>1.9230966588900904</v>
      </c>
      <c r="T29" s="69">
        <v>15</v>
      </c>
      <c r="U29" s="77">
        <f t="shared" si="3"/>
        <v>9.9700000000000006</v>
      </c>
      <c r="V29" s="84">
        <v>0</v>
      </c>
      <c r="W29" s="79">
        <f t="shared" si="4"/>
        <v>9.8910000000000018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>
        <f>NORMINV(0.95,$R$26,$R$27)</f>
        <v>2.4410718074592213</v>
      </c>
      <c r="T30" s="69">
        <v>16</v>
      </c>
      <c r="U30" s="77">
        <f t="shared" si="3"/>
        <v>10.128</v>
      </c>
      <c r="V30" s="84">
        <v>0</v>
      </c>
      <c r="W30" s="79">
        <f t="shared" si="4"/>
        <v>10.048999999999999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11.485344225747488</v>
      </c>
      <c r="C31" s="62">
        <f>NORMINV(0.025,$R$26,$R$27)</f>
        <v>1.9708851555327525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>
        <f>NORMINV(0.98,$R$26,$R$27)</f>
        <v>2.4944051866042036</v>
      </c>
      <c r="T31" s="69">
        <v>17</v>
      </c>
      <c r="U31" s="77">
        <f t="shared" si="3"/>
        <v>10.286</v>
      </c>
      <c r="V31" s="84">
        <v>2</v>
      </c>
      <c r="W31" s="79">
        <f t="shared" si="4"/>
        <v>10.207000000000001</v>
      </c>
      <c r="X31" s="80">
        <f t="shared" si="2"/>
        <v>2.1097046413502105</v>
      </c>
    </row>
    <row r="32" spans="1:24" ht="15" customHeight="1" x14ac:dyDescent="0.2">
      <c r="A32" s="65" t="s">
        <v>86</v>
      </c>
      <c r="B32" s="62">
        <f>EXP($R$31)-$B$26</f>
        <v>12.114525493039908</v>
      </c>
      <c r="C32" s="62">
        <f>NORMINV(0.01,$R$26,$R$27)</f>
        <v>1.9230966588900904</v>
      </c>
      <c r="M32" s="56"/>
      <c r="N32" s="57"/>
      <c r="O32" s="58" t="b">
        <f t="shared" si="0"/>
        <v>0</v>
      </c>
      <c r="T32" s="69">
        <v>18</v>
      </c>
      <c r="U32" s="77">
        <f t="shared" si="3"/>
        <v>10.443999999999999</v>
      </c>
      <c r="V32" s="84">
        <v>0</v>
      </c>
      <c r="W32" s="79">
        <f t="shared" si="4"/>
        <v>10.364999999999998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14.614525493039908</v>
      </c>
      <c r="M33" s="56"/>
      <c r="N33" s="57"/>
      <c r="O33" s="58" t="b">
        <f t="shared" si="0"/>
        <v>0</v>
      </c>
      <c r="T33" s="69">
        <v>19</v>
      </c>
      <c r="U33" s="77">
        <f t="shared" si="3"/>
        <v>10.602</v>
      </c>
      <c r="V33" s="84">
        <v>0</v>
      </c>
      <c r="W33" s="79">
        <f t="shared" si="4"/>
        <v>10.523</v>
      </c>
      <c r="X33" s="80">
        <f t="shared" si="2"/>
        <v>0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10.76</v>
      </c>
      <c r="V34" s="84">
        <v>0</v>
      </c>
      <c r="W34" s="79">
        <f t="shared" si="4"/>
        <v>10.681000000000001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10.917999999999999</v>
      </c>
      <c r="V35" s="84">
        <v>0</v>
      </c>
      <c r="W35" s="79">
        <f t="shared" si="4"/>
        <v>10.838999999999999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7.6</v>
      </c>
      <c r="M36" s="56"/>
      <c r="N36" s="57"/>
      <c r="O36" s="58" t="b">
        <f t="shared" si="0"/>
        <v>0</v>
      </c>
      <c r="T36" s="69">
        <v>22</v>
      </c>
      <c r="U36" s="77">
        <f t="shared" si="3"/>
        <v>11.076000000000001</v>
      </c>
      <c r="V36" s="84">
        <v>0</v>
      </c>
      <c r="W36" s="79">
        <f t="shared" si="4"/>
        <v>10.997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11.55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11.234</v>
      </c>
      <c r="V37" s="84">
        <v>1</v>
      </c>
      <c r="W37" s="79">
        <f t="shared" si="4"/>
        <v>11.155000000000001</v>
      </c>
      <c r="X37" s="80">
        <f t="shared" si="2"/>
        <v>1.0548523206751053</v>
      </c>
    </row>
    <row r="38" spans="1:24" ht="15" x14ac:dyDescent="0.2">
      <c r="A38" s="104" t="s">
        <v>19</v>
      </c>
      <c r="B38" s="53">
        <f>($B$37-$B$36)/25</f>
        <v>0.15800000000000003</v>
      </c>
      <c r="M38" s="56"/>
      <c r="N38" s="57"/>
      <c r="O38" s="58" t="b">
        <f t="shared" si="0"/>
        <v>0</v>
      </c>
      <c r="T38" s="69">
        <v>24</v>
      </c>
      <c r="U38" s="77">
        <f t="shared" si="3"/>
        <v>11.391999999999999</v>
      </c>
      <c r="V38" s="84">
        <v>0</v>
      </c>
      <c r="W38" s="79">
        <f t="shared" si="4"/>
        <v>11.312999999999999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11.55</v>
      </c>
      <c r="V39" s="84">
        <v>0</v>
      </c>
      <c r="W39" s="79">
        <f t="shared" si="4"/>
        <v>11.471</v>
      </c>
      <c r="X39" s="80">
        <f t="shared" si="2"/>
        <v>0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7.59842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7.6015799999999993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7.7564200000000003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7.7595799999999997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7.9144199999999998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7.9175799999999992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8.0724199999999993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8.0755800000000004</v>
      </c>
      <c r="U53" s="28">
        <f>$X$18</f>
        <v>2.1097046413502105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8.2304199999999987</v>
      </c>
      <c r="U54" s="28">
        <f>$X$18</f>
        <v>2.1097046413502105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8.2335799999999999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8.38842</v>
      </c>
      <c r="U56" s="28">
        <f>$X$19</f>
        <v>0</v>
      </c>
    </row>
    <row r="57" spans="5:21" ht="15" x14ac:dyDescent="0.2">
      <c r="E57" s="70">
        <v>36161</v>
      </c>
      <c r="F57" s="74">
        <f>$B$21</f>
        <v>11.706967594057749</v>
      </c>
      <c r="G57" s="74">
        <f>$C$21</f>
        <v>6.9596990726089176</v>
      </c>
      <c r="H57" s="74">
        <f>$B$22</f>
        <v>12.150680519170821</v>
      </c>
      <c r="I57" s="74">
        <f>$C$22</f>
        <v>6.5159861474958465</v>
      </c>
      <c r="J57" s="74">
        <f>$B$31</f>
        <v>11.485344225747488</v>
      </c>
      <c r="K57" s="74">
        <f>$B$32</f>
        <v>12.114525493039908</v>
      </c>
      <c r="M57" s="56"/>
      <c r="N57" s="57"/>
      <c r="O57" s="58" t="b">
        <f t="shared" si="0"/>
        <v>0</v>
      </c>
      <c r="T57" s="85">
        <f>$U$19+$B$38/100</f>
        <v>8.3915800000000011</v>
      </c>
      <c r="U57" s="28">
        <f>$X$20</f>
        <v>0</v>
      </c>
    </row>
    <row r="58" spans="5:21" ht="15" x14ac:dyDescent="0.2">
      <c r="E58" s="70">
        <v>44196</v>
      </c>
      <c r="F58" s="74">
        <f>$B$21</f>
        <v>11.706967594057749</v>
      </c>
      <c r="G58" s="74">
        <f>$C$21</f>
        <v>6.9596990726089176</v>
      </c>
      <c r="H58" s="74">
        <f>$B$22</f>
        <v>12.150680519170821</v>
      </c>
      <c r="I58" s="74">
        <f>$C$22</f>
        <v>6.5159861474958465</v>
      </c>
      <c r="J58" s="74">
        <f>$B$31</f>
        <v>11.485344225747488</v>
      </c>
      <c r="K58" s="74">
        <f>$B$32</f>
        <v>12.114525493039908</v>
      </c>
      <c r="M58" s="56"/>
      <c r="N58" s="57"/>
      <c r="O58" s="58" t="b">
        <f t="shared" si="0"/>
        <v>0</v>
      </c>
      <c r="T58" s="85">
        <f>$U$20-$B$38/100</f>
        <v>8.5464199999999995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8.5495800000000006</v>
      </c>
      <c r="U59" s="28">
        <f>$X$21</f>
        <v>0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8.7044199999999989</v>
      </c>
      <c r="U60" s="28">
        <f>$X$21</f>
        <v>0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8.7075800000000001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8.8624200000000002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3.2780326251383345</v>
      </c>
      <c r="G63" s="73">
        <f>NORMDIST($F63,$B$16,$B$17,FALSE)</f>
        <v>1.227618235971528E-6</v>
      </c>
      <c r="H63" s="73">
        <f>EXP($R$26+$E63*$R$27)</f>
        <v>4.8276730408195414</v>
      </c>
      <c r="I63" s="73">
        <f t="shared" ref="I63:I113" si="5">H63-$B$26</f>
        <v>4.8276730408195414</v>
      </c>
      <c r="J63" s="73">
        <f>1/$H63/SQRT(2*PI())/$R$27*EXP(-POWER(LN($H63)-$R$26,2)/2/POWER($R$27,2))</f>
        <v>2.3610446109842533E-6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8.8655800000000013</v>
      </c>
      <c r="U63" s="28">
        <f>$X$23</f>
        <v>0</v>
      </c>
    </row>
    <row r="64" spans="5:21" ht="15" x14ac:dyDescent="0.2">
      <c r="E64" s="72">
        <v>-4.8</v>
      </c>
      <c r="F64" s="73">
        <f t="shared" ref="F64:F113" si="6">$B$16+$E64*$B$17</f>
        <v>3.5202446534661345</v>
      </c>
      <c r="G64" s="73">
        <f t="shared" ref="G64:G113" si="7">NORMDIST($F64,$B$16,$B$17,FALSE)</f>
        <v>3.2709350715407189E-6</v>
      </c>
      <c r="H64" s="73">
        <f t="shared" ref="H64:H113" si="8">EXP($R$26+$E64*$R$27)</f>
        <v>4.9552674912822576</v>
      </c>
      <c r="I64" s="73">
        <f t="shared" si="5"/>
        <v>4.9552674912822576</v>
      </c>
      <c r="J64" s="73">
        <f t="shared" ref="J64:J113" si="9">1/$H64/SQRT(2*PI())/$R$27*EXP(-POWER(LN($H64)-$R$26,2)/2/POWER($R$27,2))</f>
        <v>6.12891405623433E-6</v>
      </c>
      <c r="K64" s="73">
        <f t="shared" ref="K64:K113" si="10">LOGNORMDIST($H64,$R$26,$R$27)</f>
        <v>7.9332815197559777E-7</v>
      </c>
      <c r="M64" s="56"/>
      <c r="N64" s="57"/>
      <c r="O64" s="58" t="b">
        <f t="shared" si="0"/>
        <v>0</v>
      </c>
      <c r="T64" s="85">
        <f>$U$23-$B$38/100</f>
        <v>9.0204199999999997</v>
      </c>
      <c r="U64" s="28">
        <f>$X$23</f>
        <v>0</v>
      </c>
    </row>
    <row r="65" spans="5:21" ht="15" x14ac:dyDescent="0.2">
      <c r="E65" s="72">
        <v>-4.5999999999999996</v>
      </c>
      <c r="F65" s="73">
        <f t="shared" si="6"/>
        <v>3.7624566817939344</v>
      </c>
      <c r="G65" s="73">
        <f t="shared" si="7"/>
        <v>8.3735330037057783E-6</v>
      </c>
      <c r="H65" s="73">
        <f t="shared" si="8"/>
        <v>5.0862342380150869</v>
      </c>
      <c r="I65" s="73">
        <f t="shared" si="5"/>
        <v>5.0862342380150869</v>
      </c>
      <c r="J65" s="73">
        <f t="shared" si="9"/>
        <v>1.5285902692026681E-5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9.0235800000000008</v>
      </c>
      <c r="U65" s="28">
        <f>$X$24</f>
        <v>1.0548523206751053</v>
      </c>
    </row>
    <row r="66" spans="5:21" ht="15" x14ac:dyDescent="0.2">
      <c r="E66" s="72">
        <v>-4.4000000000000004</v>
      </c>
      <c r="F66" s="73">
        <f t="shared" si="6"/>
        <v>4.0046687101217344</v>
      </c>
      <c r="G66" s="73">
        <f t="shared" si="7"/>
        <v>2.0595567827290066E-5</v>
      </c>
      <c r="H66" s="73">
        <f t="shared" si="8"/>
        <v>5.2206624101462324</v>
      </c>
      <c r="I66" s="73">
        <f t="shared" si="5"/>
        <v>5.2206624101462324</v>
      </c>
      <c r="J66" s="73">
        <f t="shared" si="9"/>
        <v>3.6629152510144309E-5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9.1784199999999991</v>
      </c>
      <c r="U66" s="28">
        <f>$X$24</f>
        <v>1.0548523206751053</v>
      </c>
    </row>
    <row r="67" spans="5:21" ht="15" x14ac:dyDescent="0.2">
      <c r="E67" s="72">
        <v>-4.2</v>
      </c>
      <c r="F67" s="73">
        <f t="shared" si="6"/>
        <v>4.2468807384495344</v>
      </c>
      <c r="G67" s="73">
        <f t="shared" si="7"/>
        <v>4.8670636354003596E-5</v>
      </c>
      <c r="H67" s="73">
        <f t="shared" si="8"/>
        <v>5.3586434924692572</v>
      </c>
      <c r="I67" s="73">
        <f t="shared" si="5"/>
        <v>5.3586434924692572</v>
      </c>
      <c r="J67" s="73">
        <f t="shared" si="9"/>
        <v>8.4331703102865523E-5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9.1815800000000003</v>
      </c>
      <c r="U67" s="28">
        <f>$X$25</f>
        <v>0</v>
      </c>
    </row>
    <row r="68" spans="5:21" ht="15" x14ac:dyDescent="0.2">
      <c r="E68" s="72">
        <v>-4</v>
      </c>
      <c r="F68" s="73">
        <f t="shared" si="6"/>
        <v>4.4890927667773344</v>
      </c>
      <c r="G68" s="73">
        <f t="shared" si="7"/>
        <v>1.10506671934364E-4</v>
      </c>
      <c r="H68" s="73">
        <f t="shared" si="8"/>
        <v>5.5002713877028473</v>
      </c>
      <c r="I68" s="73">
        <f t="shared" si="5"/>
        <v>5.5002713877028473</v>
      </c>
      <c r="J68" s="73">
        <f t="shared" si="9"/>
        <v>1.8654477638565688E-4</v>
      </c>
      <c r="K68" s="73">
        <f t="shared" si="10"/>
        <v>3.1671241833119809E-5</v>
      </c>
      <c r="M68" s="56"/>
      <c r="N68" s="57"/>
      <c r="O68" s="58" t="b">
        <f t="shared" si="11"/>
        <v>0</v>
      </c>
      <c r="T68" s="85">
        <f>$U$25-$B$38/100</f>
        <v>9.3364200000000004</v>
      </c>
      <c r="U68" s="28">
        <f>$X$25</f>
        <v>0</v>
      </c>
    </row>
    <row r="69" spans="5:21" ht="15" x14ac:dyDescent="0.2">
      <c r="E69" s="72">
        <v>-3.8</v>
      </c>
      <c r="F69" s="73">
        <f t="shared" si="6"/>
        <v>4.7313047951051344</v>
      </c>
      <c r="G69" s="73">
        <f t="shared" si="7"/>
        <v>2.410672399773236E-4</v>
      </c>
      <c r="H69" s="73">
        <f t="shared" si="8"/>
        <v>5.6456424803961118</v>
      </c>
      <c r="I69" s="73">
        <f t="shared" si="5"/>
        <v>5.6456424803961118</v>
      </c>
      <c r="J69" s="73">
        <f t="shared" si="9"/>
        <v>3.9646379569200263E-4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9.3395800000000015</v>
      </c>
      <c r="U69" s="28">
        <f>$X$26</f>
        <v>0</v>
      </c>
    </row>
    <row r="70" spans="5:21" ht="15" x14ac:dyDescent="0.2">
      <c r="E70" s="72">
        <v>-3.6</v>
      </c>
      <c r="F70" s="73">
        <f t="shared" si="6"/>
        <v>4.9735168234329343</v>
      </c>
      <c r="G70" s="73">
        <f t="shared" si="7"/>
        <v>5.0526138964960773E-4</v>
      </c>
      <c r="H70" s="73">
        <f t="shared" si="8"/>
        <v>5.794855702522856</v>
      </c>
      <c r="I70" s="73">
        <f t="shared" si="5"/>
        <v>5.794855702522856</v>
      </c>
      <c r="J70" s="73">
        <f t="shared" si="9"/>
        <v>8.0956588230652346E-4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9.4944199999999999</v>
      </c>
      <c r="U70" s="28">
        <f>$X$26</f>
        <v>0</v>
      </c>
    </row>
    <row r="71" spans="5:21" ht="15" x14ac:dyDescent="0.2">
      <c r="E71" s="72">
        <v>-3.4</v>
      </c>
      <c r="F71" s="73">
        <f t="shared" si="6"/>
        <v>5.2157288517607343</v>
      </c>
      <c r="G71" s="73">
        <f t="shared" si="7"/>
        <v>1.0174714913871942E-3</v>
      </c>
      <c r="H71" s="73">
        <f t="shared" si="8"/>
        <v>5.9480126008095349</v>
      </c>
      <c r="I71" s="73">
        <f t="shared" si="5"/>
        <v>5.9480126008095349</v>
      </c>
      <c r="J71" s="73">
        <f t="shared" si="9"/>
        <v>1.5882873642246956E-3</v>
      </c>
      <c r="K71" s="73">
        <f t="shared" si="10"/>
        <v>3.3692926567687983E-4</v>
      </c>
      <c r="M71" s="56"/>
      <c r="N71" s="57"/>
      <c r="O71" s="58" t="b">
        <f t="shared" si="11"/>
        <v>0</v>
      </c>
      <c r="T71" s="85">
        <f>$U$26+$B$38/100</f>
        <v>9.497580000000001</v>
      </c>
      <c r="U71" s="28">
        <f>$X$27</f>
        <v>0</v>
      </c>
    </row>
    <row r="72" spans="5:21" ht="15" x14ac:dyDescent="0.2">
      <c r="E72" s="72">
        <v>-3.2</v>
      </c>
      <c r="F72" s="73">
        <f t="shared" si="6"/>
        <v>5.4579408800885343</v>
      </c>
      <c r="G72" s="73">
        <f t="shared" si="7"/>
        <v>1.9685960420085429E-3</v>
      </c>
      <c r="H72" s="73">
        <f t="shared" si="8"/>
        <v>6.1052174058426383</v>
      </c>
      <c r="I72" s="73">
        <f t="shared" si="5"/>
        <v>6.1052174058426383</v>
      </c>
      <c r="J72" s="73">
        <f t="shared" si="9"/>
        <v>2.993878593800858E-3</v>
      </c>
      <c r="K72" s="73">
        <f t="shared" si="10"/>
        <v>6.8713793791584969E-4</v>
      </c>
      <c r="M72" s="56"/>
      <c r="N72" s="57"/>
      <c r="O72" s="58" t="b">
        <f t="shared" si="11"/>
        <v>0</v>
      </c>
      <c r="T72" s="85">
        <f>$U$27-$B$38/100</f>
        <v>9.6524199999999993</v>
      </c>
      <c r="U72" s="28">
        <f>$X$27</f>
        <v>0</v>
      </c>
    </row>
    <row r="73" spans="5:21" ht="15" x14ac:dyDescent="0.2">
      <c r="E73" s="72">
        <v>-3</v>
      </c>
      <c r="F73" s="73">
        <f t="shared" si="6"/>
        <v>5.7001529084163343</v>
      </c>
      <c r="G73" s="73">
        <f t="shared" si="7"/>
        <v>3.6594783855574027E-3</v>
      </c>
      <c r="H73" s="73">
        <f t="shared" si="8"/>
        <v>6.2665771030025885</v>
      </c>
      <c r="I73" s="73">
        <f t="shared" si="5"/>
        <v>6.2665771030025885</v>
      </c>
      <c r="J73" s="73">
        <f t="shared" si="9"/>
        <v>5.422099837916995E-3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9.6555800000000005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5.9423649367441342</v>
      </c>
      <c r="G74" s="73">
        <f t="shared" si="7"/>
        <v>6.5359690331047602E-3</v>
      </c>
      <c r="H74" s="73">
        <f t="shared" si="8"/>
        <v>6.4322015052724062</v>
      </c>
      <c r="I74" s="73">
        <f t="shared" si="5"/>
        <v>6.4322015052724062</v>
      </c>
      <c r="J74" s="73">
        <f t="shared" si="9"/>
        <v>9.4347208660812507E-3</v>
      </c>
      <c r="K74" s="73">
        <f t="shared" si="10"/>
        <v>2.5551303304279286E-3</v>
      </c>
      <c r="M74" s="56"/>
      <c r="N74" s="57"/>
      <c r="O74" s="58" t="b">
        <f t="shared" si="11"/>
        <v>0</v>
      </c>
      <c r="T74" s="85">
        <f>$U$28-$B$38/100</f>
        <v>9.8104200000000006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6.1845769650719342</v>
      </c>
      <c r="G75" s="73">
        <f t="shared" si="7"/>
        <v>1.1215767711835493E-2</v>
      </c>
      <c r="H75" s="73">
        <f t="shared" si="8"/>
        <v>6.6022033279706891</v>
      </c>
      <c r="I75" s="73">
        <f t="shared" si="5"/>
        <v>6.6022033279706891</v>
      </c>
      <c r="J75" s="73">
        <f t="shared" si="9"/>
        <v>1.5773164118699983E-2</v>
      </c>
      <c r="K75" s="73">
        <f t="shared" si="10"/>
        <v>4.661188023718738E-3</v>
      </c>
      <c r="M75" s="56"/>
      <c r="N75" s="57"/>
      <c r="O75" s="58" t="b">
        <f t="shared" si="11"/>
        <v>0</v>
      </c>
      <c r="T75" s="85">
        <f>$U$28+$B$38/100</f>
        <v>9.8135800000000017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6.4267889933997342</v>
      </c>
      <c r="G76" s="73">
        <f t="shared" si="7"/>
        <v>1.849167479373489E-2</v>
      </c>
      <c r="H76" s="73">
        <f t="shared" si="8"/>
        <v>6.7766982654597729</v>
      </c>
      <c r="I76" s="73">
        <f t="shared" si="5"/>
        <v>6.7766982654597729</v>
      </c>
      <c r="J76" s="73">
        <f t="shared" si="9"/>
        <v>2.533592759753692E-2</v>
      </c>
      <c r="K76" s="73">
        <f t="shared" si="10"/>
        <v>8.1975359245961381E-3</v>
      </c>
      <c r="M76" s="56"/>
      <c r="N76" s="57"/>
      <c r="O76" s="58" t="b">
        <f t="shared" si="11"/>
        <v>0</v>
      </c>
      <c r="T76" s="85">
        <f>$U$29-$B$38/100</f>
        <v>9.9684200000000001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6.6690010217275342</v>
      </c>
      <c r="G77" s="73">
        <f t="shared" si="7"/>
        <v>2.9292180979733625E-2</v>
      </c>
      <c r="H77" s="73">
        <f t="shared" si="8"/>
        <v>6.955805069881265</v>
      </c>
      <c r="I77" s="73">
        <f t="shared" si="5"/>
        <v>6.955805069881265</v>
      </c>
      <c r="J77" s="73">
        <f t="shared" si="9"/>
        <v>3.9100563575798768E-2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9.9715800000000012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6.9112130500553342</v>
      </c>
      <c r="G78" s="73">
        <f t="shared" si="7"/>
        <v>4.4581573331377966E-2</v>
      </c>
      <c r="H78" s="73">
        <f t="shared" si="8"/>
        <v>7.139645631972563</v>
      </c>
      <c r="I78" s="73">
        <f t="shared" si="5"/>
        <v>7.139645631972563</v>
      </c>
      <c r="J78" s="73">
        <f t="shared" si="9"/>
        <v>5.7977227819069985E-2</v>
      </c>
      <c r="K78" s="73">
        <f t="shared" si="10"/>
        <v>2.2750131948179184E-2</v>
      </c>
      <c r="L78" s="16"/>
      <c r="M78" s="56"/>
      <c r="N78" s="57"/>
      <c r="O78" s="58" t="b">
        <f t="shared" si="11"/>
        <v>0</v>
      </c>
      <c r="T78" s="85">
        <f>$U$30-$B$38/100</f>
        <v>10.12642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7.1534250783831341</v>
      </c>
      <c r="G79" s="73">
        <f t="shared" si="7"/>
        <v>6.5190947655205791E-2</v>
      </c>
      <c r="H79" s="73">
        <f t="shared" si="8"/>
        <v>7.3283450640193157</v>
      </c>
      <c r="I79" s="73">
        <f t="shared" si="5"/>
        <v>7.3283450640193157</v>
      </c>
      <c r="J79" s="73">
        <f t="shared" si="9"/>
        <v>8.2596205291438671E-2</v>
      </c>
      <c r="K79" s="73">
        <f t="shared" si="10"/>
        <v>3.5930319112925713E-2</v>
      </c>
      <c r="L79" s="16"/>
      <c r="M79" s="56"/>
      <c r="N79" s="57"/>
      <c r="O79" s="58" t="b">
        <f t="shared" si="11"/>
        <v>0</v>
      </c>
      <c r="T79" s="85">
        <f>$U$30+$B$38/100</f>
        <v>10.129580000000001</v>
      </c>
      <c r="U79" s="28">
        <f>$X$31</f>
        <v>2.1097046413502105</v>
      </c>
    </row>
    <row r="80" spans="5:21" ht="15" x14ac:dyDescent="0.2">
      <c r="E80" s="72">
        <v>-1.6</v>
      </c>
      <c r="F80" s="73">
        <f t="shared" si="6"/>
        <v>7.3956371067109341</v>
      </c>
      <c r="G80" s="73">
        <f t="shared" si="7"/>
        <v>9.158986483473873E-2</v>
      </c>
      <c r="H80" s="73">
        <f t="shared" si="8"/>
        <v>7.5220317850003147</v>
      </c>
      <c r="I80" s="73">
        <f t="shared" si="5"/>
        <v>7.5220317850003147</v>
      </c>
      <c r="J80" s="73">
        <f t="shared" si="9"/>
        <v>0.11305530997192238</v>
      </c>
      <c r="K80" s="73">
        <f t="shared" si="10"/>
        <v>5.4799291699558036E-2</v>
      </c>
      <c r="L80" s="16"/>
      <c r="M80" s="56"/>
      <c r="N80" s="57"/>
      <c r="O80" s="58" t="b">
        <f t="shared" si="11"/>
        <v>0</v>
      </c>
      <c r="T80" s="85">
        <f>$U$31-$B$38/100</f>
        <v>10.284419999999999</v>
      </c>
      <c r="U80" s="28">
        <f>$X$31</f>
        <v>2.1097046413502105</v>
      </c>
    </row>
    <row r="81" spans="5:21" ht="15" x14ac:dyDescent="0.2">
      <c r="E81" s="72">
        <v>-1.4</v>
      </c>
      <c r="F81" s="73">
        <f t="shared" si="6"/>
        <v>7.6378491350387341</v>
      </c>
      <c r="G81" s="73">
        <f t="shared" si="7"/>
        <v>0.12363338573186776</v>
      </c>
      <c r="H81" s="73">
        <f t="shared" si="8"/>
        <v>7.720837607982741</v>
      </c>
      <c r="I81" s="73">
        <f t="shared" si="5"/>
        <v>7.720837607982741</v>
      </c>
      <c r="J81" s="73">
        <f t="shared" si="9"/>
        <v>0.1486791452946962</v>
      </c>
      <c r="K81" s="73">
        <f t="shared" si="10"/>
        <v>8.0756659233771275E-2</v>
      </c>
      <c r="L81" s="14"/>
      <c r="M81" s="56"/>
      <c r="N81" s="57"/>
      <c r="O81" s="58" t="b">
        <f t="shared" si="11"/>
        <v>0</v>
      </c>
      <c r="T81" s="85">
        <f>$U$31+$B$38/100</f>
        <v>10.28758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7.8800611633665341</v>
      </c>
      <c r="G82" s="73">
        <f t="shared" si="7"/>
        <v>0.16034385767201403</v>
      </c>
      <c r="H82" s="73">
        <f t="shared" si="8"/>
        <v>7.9248978298272554</v>
      </c>
      <c r="I82" s="73">
        <f t="shared" si="5"/>
        <v>7.9248978298272554</v>
      </c>
      <c r="J82" s="73">
        <f t="shared" si="9"/>
        <v>0.1878613190208917</v>
      </c>
      <c r="K82" s="73">
        <f t="shared" si="10"/>
        <v>0.1150696702217081</v>
      </c>
      <c r="L82" s="14"/>
      <c r="M82" s="56"/>
      <c r="N82" s="57"/>
      <c r="O82" s="58" t="b">
        <f t="shared" si="11"/>
        <v>0</v>
      </c>
      <c r="T82" s="85">
        <f>$U$32-$B$38/100</f>
        <v>10.442419999999998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8.1222731916943331</v>
      </c>
      <c r="G83" s="73">
        <f t="shared" si="7"/>
        <v>0.19980074993771144</v>
      </c>
      <c r="H83" s="73">
        <f t="shared" si="8"/>
        <v>8.1343513232639868</v>
      </c>
      <c r="I83" s="73">
        <f t="shared" si="5"/>
        <v>8.1343513232639868</v>
      </c>
      <c r="J83" s="73">
        <f t="shared" si="9"/>
        <v>0.22806198473712619</v>
      </c>
      <c r="K83" s="73">
        <f t="shared" si="10"/>
        <v>0.15865525393145719</v>
      </c>
      <c r="L83" s="14"/>
      <c r="M83" s="56"/>
      <c r="N83" s="57"/>
      <c r="O83" s="58" t="b">
        <f t="shared" si="11"/>
        <v>0</v>
      </c>
      <c r="T83" s="85">
        <f>$U$32+$B$38/100</f>
        <v>10.44558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8.364485220022134</v>
      </c>
      <c r="G84" s="73">
        <f t="shared" si="7"/>
        <v>0.23920492699018719</v>
      </c>
      <c r="H84" s="73">
        <f t="shared" si="8"/>
        <v>8.3493406314020397</v>
      </c>
      <c r="I84" s="73">
        <f t="shared" si="5"/>
        <v>8.3493406314020397</v>
      </c>
      <c r="J84" s="73">
        <f t="shared" si="9"/>
        <v>0.26600919715062243</v>
      </c>
      <c r="K84" s="73">
        <f t="shared" si="10"/>
        <v>0.21185539858339622</v>
      </c>
      <c r="M84" s="56"/>
      <c r="N84" s="57"/>
      <c r="O84" s="58" t="b">
        <f t="shared" si="11"/>
        <v>0</v>
      </c>
      <c r="T84" s="85">
        <f>$U$33-$B$38/100</f>
        <v>10.60042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8.6066972483499349</v>
      </c>
      <c r="G85" s="73">
        <f t="shared" si="7"/>
        <v>0.27515116007436846</v>
      </c>
      <c r="H85" s="73">
        <f t="shared" si="8"/>
        <v>8.5700120647369129</v>
      </c>
      <c r="I85" s="73">
        <f t="shared" si="5"/>
        <v>8.5700120647369129</v>
      </c>
      <c r="J85" s="73">
        <f t="shared" si="9"/>
        <v>0.29810456463271101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10.603580000000001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8.848909276677734</v>
      </c>
      <c r="G86" s="73">
        <f t="shared" si="7"/>
        <v>0.30408906018896914</v>
      </c>
      <c r="H86" s="73">
        <f t="shared" si="8"/>
        <v>8.7965158007217621</v>
      </c>
      <c r="I86" s="73">
        <f t="shared" si="5"/>
        <v>8.7965158007217621</v>
      </c>
      <c r="J86" s="73">
        <f t="shared" si="9"/>
        <v>0.32097323578512144</v>
      </c>
      <c r="K86" s="73">
        <f t="shared" si="10"/>
        <v>0.34457825838967615</v>
      </c>
      <c r="M86" s="56"/>
      <c r="N86" s="57"/>
      <c r="O86" s="58" t="b">
        <f t="shared" si="11"/>
        <v>0</v>
      </c>
      <c r="T86" s="85">
        <f>$U$34-$B$38/100</f>
        <v>10.758419999999999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9.0911213050055331</v>
      </c>
      <c r="G87" s="73">
        <f t="shared" si="7"/>
        <v>0.32289287751327894</v>
      </c>
      <c r="H87" s="73">
        <f t="shared" si="8"/>
        <v>9.0290059859703344</v>
      </c>
      <c r="I87" s="73">
        <f t="shared" si="5"/>
        <v>9.0290059859703344</v>
      </c>
      <c r="J87" s="73">
        <f t="shared" si="9"/>
        <v>0.33204522220025445</v>
      </c>
      <c r="K87" s="73">
        <f t="shared" si="10"/>
        <v>0.42074029056089646</v>
      </c>
      <c r="M87" s="56"/>
      <c r="N87" s="57"/>
      <c r="O87" s="58" t="b">
        <f t="shared" si="11"/>
        <v>0</v>
      </c>
      <c r="T87" s="85">
        <f>$U$34+$B$38/100</f>
        <v>10.76158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9.3333333333333339</v>
      </c>
      <c r="G88" s="73">
        <f t="shared" si="7"/>
        <v>0.32941574632414233</v>
      </c>
      <c r="H88" s="73">
        <f t="shared" si="8"/>
        <v>9.2676408411611266</v>
      </c>
      <c r="I88" s="73">
        <f t="shared" si="5"/>
        <v>9.2676408411611266</v>
      </c>
      <c r="J88" s="73">
        <f t="shared" si="9"/>
        <v>0.33003034346810395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10.916419999999999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9.5755453616611348</v>
      </c>
      <c r="G89" s="73">
        <f t="shared" si="7"/>
        <v>0.32289287751327894</v>
      </c>
      <c r="H89" s="73">
        <f t="shared" si="8"/>
        <v>9.5125827687140845</v>
      </c>
      <c r="I89" s="73">
        <f t="shared" si="5"/>
        <v>9.5125827687140845</v>
      </c>
      <c r="J89" s="73">
        <f t="shared" si="9"/>
        <v>0.31516554144676567</v>
      </c>
      <c r="K89" s="73">
        <f t="shared" si="10"/>
        <v>0.57925970943910354</v>
      </c>
      <c r="M89" s="56"/>
      <c r="N89" s="57"/>
      <c r="O89" s="58" t="b">
        <f t="shared" si="11"/>
        <v>0</v>
      </c>
      <c r="T89" s="85">
        <f>$U$35+$B$38/100</f>
        <v>10.91958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9.8177573899889339</v>
      </c>
      <c r="G90" s="73">
        <f t="shared" si="7"/>
        <v>0.30408906018896914</v>
      </c>
      <c r="H90" s="73">
        <f t="shared" si="8"/>
        <v>9.763998463313218</v>
      </c>
      <c r="I90" s="73">
        <f t="shared" si="5"/>
        <v>9.763998463313218</v>
      </c>
      <c r="J90" s="73">
        <f t="shared" si="9"/>
        <v>0.28916904798800352</v>
      </c>
      <c r="K90" s="73">
        <f t="shared" si="10"/>
        <v>0.65542174161032385</v>
      </c>
      <c r="M90" s="56"/>
      <c r="N90" s="57"/>
      <c r="O90" s="58" t="b">
        <f t="shared" si="11"/>
        <v>0</v>
      </c>
      <c r="T90" s="85">
        <f>$U$36-$B$38/100</f>
        <v>11.07442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10.059969418316733</v>
      </c>
      <c r="G91" s="73">
        <f t="shared" si="7"/>
        <v>0.27515116007436846</v>
      </c>
      <c r="H91" s="73">
        <f t="shared" si="8"/>
        <v>10.022059025350321</v>
      </c>
      <c r="I91" s="73">
        <f t="shared" si="5"/>
        <v>10.022059025350321</v>
      </c>
      <c r="J91" s="73">
        <f t="shared" si="9"/>
        <v>0.25491365686365802</v>
      </c>
      <c r="K91" s="73">
        <f t="shared" si="10"/>
        <v>0.72574688224992656</v>
      </c>
      <c r="M91" s="56"/>
      <c r="N91" s="57"/>
      <c r="O91" s="58" t="b">
        <f t="shared" si="11"/>
        <v>0</v>
      </c>
      <c r="T91" s="85">
        <f>$U$36+$B$38/100</f>
        <v>11.077580000000001</v>
      </c>
      <c r="U91" s="28">
        <f>$X$37</f>
        <v>1.0548523206751053</v>
      </c>
    </row>
    <row r="92" spans="5:21" ht="15" x14ac:dyDescent="0.2">
      <c r="E92" s="72">
        <v>0.80000000000001004</v>
      </c>
      <c r="F92" s="73">
        <f t="shared" si="6"/>
        <v>10.302181446644546</v>
      </c>
      <c r="G92" s="73">
        <f t="shared" si="7"/>
        <v>0.23920492699018525</v>
      </c>
      <c r="H92" s="73">
        <f t="shared" si="8"/>
        <v>10.286940077366935</v>
      </c>
      <c r="I92" s="73">
        <f t="shared" si="5"/>
        <v>10.286940077366935</v>
      </c>
      <c r="J92" s="73">
        <f t="shared" si="9"/>
        <v>0.21590496118305444</v>
      </c>
      <c r="K92" s="73">
        <f t="shared" si="10"/>
        <v>0.78814460141660581</v>
      </c>
      <c r="M92" s="56"/>
      <c r="N92" s="57"/>
      <c r="O92" s="58" t="b">
        <f t="shared" si="11"/>
        <v>0</v>
      </c>
      <c r="T92" s="85">
        <f>$U$37-$B$38/100</f>
        <v>11.232419999999999</v>
      </c>
      <c r="U92" s="28">
        <f>$X$37</f>
        <v>1.0548523206751053</v>
      </c>
    </row>
    <row r="93" spans="5:21" ht="15" x14ac:dyDescent="0.2">
      <c r="E93" s="72">
        <v>1.00000000000001</v>
      </c>
      <c r="F93" s="73">
        <f t="shared" si="6"/>
        <v>10.544393474972345</v>
      </c>
      <c r="G93" s="73">
        <f t="shared" si="7"/>
        <v>0.19980074993770966</v>
      </c>
      <c r="H93" s="73">
        <f t="shared" si="8"/>
        <v>10.558821883573867</v>
      </c>
      <c r="I93" s="73">
        <f t="shared" si="5"/>
        <v>10.558821883573867</v>
      </c>
      <c r="J93" s="73">
        <f t="shared" si="9"/>
        <v>0.17569538796924217</v>
      </c>
      <c r="K93" s="73">
        <f t="shared" si="10"/>
        <v>0.84134474606854526</v>
      </c>
      <c r="M93" s="56"/>
      <c r="N93" s="57"/>
      <c r="O93" s="58" t="b">
        <f t="shared" si="11"/>
        <v>0</v>
      </c>
      <c r="T93" s="85">
        <f>$U$37+$B$38/100</f>
        <v>11.235580000000001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10.786605503300146</v>
      </c>
      <c r="G94" s="73">
        <f t="shared" si="7"/>
        <v>0.16034385767201209</v>
      </c>
      <c r="H94" s="73">
        <f t="shared" si="8"/>
        <v>10.837889472529644</v>
      </c>
      <c r="I94" s="73">
        <f t="shared" si="5"/>
        <v>10.837889472529644</v>
      </c>
      <c r="J94" s="73">
        <f t="shared" si="9"/>
        <v>0.13736823605653911</v>
      </c>
      <c r="K94" s="73">
        <f t="shared" si="10"/>
        <v>0.88493032977829389</v>
      </c>
      <c r="M94" s="56"/>
      <c r="N94" s="57"/>
      <c r="O94" s="58" t="b">
        <f t="shared" si="11"/>
        <v>0</v>
      </c>
      <c r="T94" s="85">
        <f>$U$38-$B$38/100</f>
        <v>11.390419999999999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11.028817531627945</v>
      </c>
      <c r="G95" s="73">
        <f t="shared" si="7"/>
        <v>0.12363338573186612</v>
      </c>
      <c r="H95" s="73">
        <f t="shared" si="8"/>
        <v>11.124332763061247</v>
      </c>
      <c r="I95" s="73">
        <f t="shared" si="5"/>
        <v>11.124332763061247</v>
      </c>
      <c r="J95" s="73">
        <f t="shared" si="9"/>
        <v>0.10319068666533776</v>
      </c>
      <c r="K95" s="73">
        <f t="shared" si="10"/>
        <v>0.91924334076623027</v>
      </c>
      <c r="M95" s="56"/>
      <c r="N95" s="57"/>
      <c r="O95" s="58" t="b">
        <f t="shared" si="11"/>
        <v>0</v>
      </c>
      <c r="T95" s="85">
        <f>$U$38+$B$38/100</f>
        <v>11.39358</v>
      </c>
      <c r="U95" s="28">
        <f>$X$39</f>
        <v>0</v>
      </c>
    </row>
    <row r="96" spans="5:21" ht="15" x14ac:dyDescent="0.2">
      <c r="E96" s="72">
        <v>1.6000000000000101</v>
      </c>
      <c r="F96" s="73">
        <f t="shared" si="6"/>
        <v>11.271029559955746</v>
      </c>
      <c r="G96" s="73">
        <f t="shared" si="7"/>
        <v>9.1589864834737231E-2</v>
      </c>
      <c r="H96" s="73">
        <f t="shared" si="8"/>
        <v>11.418346693512973</v>
      </c>
      <c r="I96" s="73">
        <f t="shared" si="5"/>
        <v>11.418346693512973</v>
      </c>
      <c r="J96" s="73">
        <f t="shared" si="9"/>
        <v>7.4477125095087901E-2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11.54842</v>
      </c>
      <c r="U96" s="28">
        <f>$X$39</f>
        <v>0</v>
      </c>
    </row>
    <row r="97" spans="5:21" ht="15" x14ac:dyDescent="0.2">
      <c r="E97" s="72">
        <v>1.80000000000001</v>
      </c>
      <c r="F97" s="73">
        <f t="shared" si="6"/>
        <v>11.513241588283545</v>
      </c>
      <c r="G97" s="73">
        <f t="shared" si="7"/>
        <v>6.5190947655204681E-2</v>
      </c>
      <c r="H97" s="73">
        <f t="shared" si="8"/>
        <v>11.720131354411269</v>
      </c>
      <c r="I97" s="73">
        <f t="shared" si="5"/>
        <v>11.720131354411269</v>
      </c>
      <c r="J97" s="73">
        <f t="shared" si="9"/>
        <v>5.1645623675233551E-2</v>
      </c>
      <c r="K97" s="73">
        <f t="shared" si="10"/>
        <v>0.96406968088707512</v>
      </c>
      <c r="M97" s="56"/>
      <c r="N97" s="57"/>
      <c r="O97" s="58" t="b">
        <f t="shared" si="11"/>
        <v>0</v>
      </c>
      <c r="T97" s="85">
        <f>$U$39+$B$38/100</f>
        <v>11.551580000000001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11.755453616611346</v>
      </c>
      <c r="G98" s="73">
        <f t="shared" si="7"/>
        <v>4.458157333137705E-2</v>
      </c>
      <c r="H98" s="73">
        <f t="shared" si="8"/>
        <v>12.029892124635897</v>
      </c>
      <c r="I98" s="73">
        <f t="shared" si="5"/>
        <v>12.029892124635897</v>
      </c>
      <c r="J98" s="73">
        <f t="shared" si="9"/>
        <v>3.4409025206850935E-2</v>
      </c>
      <c r="K98" s="73">
        <f t="shared" si="10"/>
        <v>0.97724986805182124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11.997665644939145</v>
      </c>
      <c r="G99" s="73">
        <f t="shared" si="7"/>
        <v>2.9292180979733028E-2</v>
      </c>
      <c r="H99" s="73">
        <f t="shared" si="8"/>
        <v>12.347839811190102</v>
      </c>
      <c r="I99" s="73">
        <f t="shared" si="5"/>
        <v>12.347839811190102</v>
      </c>
      <c r="J99" s="73">
        <f t="shared" si="9"/>
        <v>2.2026192638916035E-2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12.239877673266946</v>
      </c>
      <c r="G100" s="73">
        <f t="shared" si="7"/>
        <v>1.8491674793734439E-2</v>
      </c>
      <c r="H100" s="73">
        <f t="shared" si="8"/>
        <v>12.674190792664813</v>
      </c>
      <c r="I100" s="73">
        <f t="shared" si="5"/>
        <v>12.674190792664813</v>
      </c>
      <c r="J100" s="73">
        <f t="shared" si="9"/>
        <v>1.3546737571869744E-2</v>
      </c>
      <c r="K100" s="73">
        <f t="shared" si="10"/>
        <v>0.99180246407540418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12.482089701594745</v>
      </c>
      <c r="G101" s="73">
        <f t="shared" si="7"/>
        <v>1.1215767711835222E-2</v>
      </c>
      <c r="H101" s="73">
        <f t="shared" si="8"/>
        <v>13.009167166494622</v>
      </c>
      <c r="I101" s="73">
        <f t="shared" si="5"/>
        <v>13.009167166494622</v>
      </c>
      <c r="J101" s="73">
        <f t="shared" si="9"/>
        <v>8.0049426150288188E-3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12.724301729922546</v>
      </c>
      <c r="G102" s="73">
        <f t="shared" si="7"/>
        <v>6.5359690331045651E-3</v>
      </c>
      <c r="H102" s="73">
        <f t="shared" si="8"/>
        <v>13.352996900105728</v>
      </c>
      <c r="I102" s="73">
        <f t="shared" si="5"/>
        <v>13.352996900105728</v>
      </c>
      <c r="J102" s="73">
        <f t="shared" si="9"/>
        <v>4.5447494828783032E-3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12.966513758250347</v>
      </c>
      <c r="G103" s="73">
        <f t="shared" si="7"/>
        <v>3.6594783855572795E-3</v>
      </c>
      <c r="H103" s="73">
        <f t="shared" si="8"/>
        <v>13.70591398605861</v>
      </c>
      <c r="I103" s="73">
        <f t="shared" si="5"/>
        <v>13.70591398605861</v>
      </c>
      <c r="J103" s="73">
        <f t="shared" si="9"/>
        <v>2.4790763118056613E-3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13.208725786578146</v>
      </c>
      <c r="G104" s="73">
        <f t="shared" si="7"/>
        <v>1.96859604200848E-3</v>
      </c>
      <c r="H104" s="73">
        <f t="shared" si="8"/>
        <v>14.068158601291197</v>
      </c>
      <c r="I104" s="73">
        <f t="shared" si="5"/>
        <v>14.068158601291197</v>
      </c>
      <c r="J104" s="73">
        <f t="shared" si="9"/>
        <v>1.2992659679124225E-3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13.450937814905945</v>
      </c>
      <c r="G105" s="73">
        <f t="shared" si="7"/>
        <v>1.0174714913871597E-3</v>
      </c>
      <c r="H105" s="73">
        <f t="shared" si="8"/>
        <v>14.439977270570708</v>
      </c>
      <c r="I105" s="73">
        <f t="shared" si="5"/>
        <v>14.439977270570708</v>
      </c>
      <c r="J105" s="73">
        <f t="shared" si="9"/>
        <v>6.5423601984252572E-4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13.693149843233744</v>
      </c>
      <c r="G106" s="73">
        <f t="shared" si="7"/>
        <v>5.0526138964959158E-4</v>
      </c>
      <c r="H106" s="73">
        <f t="shared" si="8"/>
        <v>14.821623034265546</v>
      </c>
      <c r="I106" s="73">
        <f t="shared" si="5"/>
        <v>14.821623034265546</v>
      </c>
      <c r="J106" s="73">
        <f t="shared" si="9"/>
        <v>3.1651847161448413E-4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13.935361871561547</v>
      </c>
      <c r="G107" s="73">
        <f t="shared" si="7"/>
        <v>2.4106723997731352E-4</v>
      </c>
      <c r="H107" s="73">
        <f t="shared" si="8"/>
        <v>15.213355620551383</v>
      </c>
      <c r="I107" s="73">
        <f t="shared" si="5"/>
        <v>15.213355620551383</v>
      </c>
      <c r="J107" s="73">
        <f t="shared" si="9"/>
        <v>1.4712683399539466E-4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14.177573899889346</v>
      </c>
      <c r="G108" s="73">
        <f t="shared" si="7"/>
        <v>1.105066719343593E-4</v>
      </c>
      <c r="H108" s="73">
        <f t="shared" si="8"/>
        <v>15.615441622168547</v>
      </c>
      <c r="I108" s="73">
        <f t="shared" si="5"/>
        <v>15.615441622168547</v>
      </c>
      <c r="J108" s="73">
        <f t="shared" si="9"/>
        <v>6.5707196818743445E-5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14.419785928217145</v>
      </c>
      <c r="G109" s="73">
        <f t="shared" si="7"/>
        <v>4.8670636354001604E-5</v>
      </c>
      <c r="H109" s="73">
        <f t="shared" si="8"/>
        <v>16.028154677851163</v>
      </c>
      <c r="I109" s="73">
        <f t="shared" si="5"/>
        <v>16.028154677851163</v>
      </c>
      <c r="J109" s="73">
        <f t="shared" si="9"/>
        <v>2.8194358060786375E-5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14.661997956544946</v>
      </c>
      <c r="G110" s="73">
        <f t="shared" si="7"/>
        <v>2.0595567827289185E-5</v>
      </c>
      <c r="H110" s="73">
        <f t="shared" si="8"/>
        <v>16.451775658551352</v>
      </c>
      <c r="I110" s="73">
        <f t="shared" si="5"/>
        <v>16.451775658551352</v>
      </c>
      <c r="J110" s="73">
        <f t="shared" si="9"/>
        <v>1.1623574475732523E-5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14.904209984872747</v>
      </c>
      <c r="G111" s="73">
        <f t="shared" si="7"/>
        <v>8.373533003705331E-6</v>
      </c>
      <c r="H111" s="73">
        <f t="shared" si="8"/>
        <v>16.886592858585349</v>
      </c>
      <c r="I111" s="73">
        <f t="shared" si="5"/>
        <v>16.886592858585349</v>
      </c>
      <c r="J111" s="73">
        <f t="shared" si="9"/>
        <v>4.6041070737144556E-6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15.146422013200546</v>
      </c>
      <c r="G112" s="73">
        <f t="shared" si="7"/>
        <v>3.2709350715405508E-6</v>
      </c>
      <c r="H112" s="73">
        <f t="shared" si="8"/>
        <v>17.332902191831543</v>
      </c>
      <c r="I112" s="73">
        <f t="shared" si="5"/>
        <v>17.332902191831543</v>
      </c>
      <c r="J112" s="73">
        <f t="shared" si="9"/>
        <v>1.7521825395190872E-6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15.388634041528334</v>
      </c>
      <c r="G113" s="73">
        <f t="shared" si="7"/>
        <v>1.2276182359715236E-6</v>
      </c>
      <c r="H113" s="73">
        <f t="shared" si="8"/>
        <v>17.791007393114025</v>
      </c>
      <c r="I113" s="73">
        <f t="shared" si="5"/>
        <v>17.791007393114025</v>
      </c>
      <c r="J113" s="73">
        <f t="shared" si="9"/>
        <v>6.4068049463194824E-7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-8.8204427587892945E-2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15.185536214636169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-1.5631092512728099E-4</v>
      </c>
      <c r="H120" s="69" t="s">
        <v>50</v>
      </c>
      <c r="I120" s="79">
        <f>IF($B$9&gt;3,INDEX(XX!$C$4:$C$150,$B$9))</f>
        <v>0.66639999999999999</v>
      </c>
      <c r="J120" s="79">
        <f>IF($B$9&gt;3,INDEX(XX!$D$4:$D$150,$B$9))</f>
        <v>0.79769999999999996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8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38353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40" sqref="M40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61" t="s">
        <v>146</v>
      </c>
      <c r="B1" s="162"/>
      <c r="C1" s="162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63"/>
      <c r="B2" s="162"/>
      <c r="C2" s="162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/>
      <c r="N3" s="57"/>
      <c r="O3" s="58" t="b">
        <f t="shared" ref="O3:O66" si="0">IF($N3&gt;0,LN($N3+$B$26))</f>
        <v>0</v>
      </c>
      <c r="T3" s="69" t="s">
        <v>109</v>
      </c>
      <c r="U3" s="82" t="e">
        <f>$B$21</f>
        <v>#DIV/0!</v>
      </c>
      <c r="V3" s="82" t="e">
        <f t="shared" ref="V3:V10" si="1">U3</f>
        <v>#DIV/0!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/>
      <c r="N4" s="57"/>
      <c r="O4" s="58" t="b">
        <f t="shared" si="0"/>
        <v>0</v>
      </c>
      <c r="T4" s="69" t="s">
        <v>111</v>
      </c>
      <c r="U4" s="82" t="e">
        <f>$B$31</f>
        <v>#DIV/0!</v>
      </c>
      <c r="V4" s="82" t="e">
        <f t="shared" si="1"/>
        <v>#DIV/0!</v>
      </c>
    </row>
    <row r="5" spans="1:24" ht="15" customHeight="1" x14ac:dyDescent="0.2">
      <c r="A5" s="97" t="s">
        <v>70</v>
      </c>
      <c r="B5" s="133" t="s">
        <v>71</v>
      </c>
      <c r="C5" s="18"/>
      <c r="D5" s="4"/>
      <c r="M5" s="56"/>
      <c r="N5" s="57"/>
      <c r="O5" s="58" t="b">
        <f t="shared" si="0"/>
        <v>0</v>
      </c>
      <c r="T5" s="69" t="s">
        <v>110</v>
      </c>
      <c r="U5" s="82" t="e">
        <f>$B$22</f>
        <v>#DIV/0!</v>
      </c>
      <c r="V5" s="82" t="e">
        <f t="shared" si="1"/>
        <v>#DIV/0!</v>
      </c>
    </row>
    <row r="6" spans="1:24" ht="15" customHeight="1" x14ac:dyDescent="0.2">
      <c r="A6" s="107" t="s">
        <v>18</v>
      </c>
      <c r="B6" s="133">
        <v>0</v>
      </c>
      <c r="C6" s="18"/>
      <c r="M6" s="56"/>
      <c r="N6" s="57"/>
      <c r="O6" s="58" t="b">
        <f t="shared" si="0"/>
        <v>0</v>
      </c>
      <c r="T6" s="69" t="s">
        <v>29</v>
      </c>
      <c r="U6" s="82" t="e">
        <f>$B$32</f>
        <v>#DIV/0!</v>
      </c>
      <c r="V6" s="82" t="e">
        <f t="shared" si="1"/>
        <v>#DIV/0!</v>
      </c>
    </row>
    <row r="7" spans="1:24" ht="15" customHeight="1" x14ac:dyDescent="0.2">
      <c r="D7" s="4"/>
      <c r="F7" s="5"/>
      <c r="M7" s="56"/>
      <c r="N7" s="57"/>
      <c r="O7" s="58" t="b">
        <f t="shared" si="0"/>
        <v>0</v>
      </c>
      <c r="T7" s="69" t="s">
        <v>31</v>
      </c>
      <c r="U7" s="82" t="e">
        <f>$C$21</f>
        <v>#DIV/0!</v>
      </c>
      <c r="V7" s="82" t="e">
        <f t="shared" si="1"/>
        <v>#DIV/0!</v>
      </c>
    </row>
    <row r="8" spans="1:24" ht="15" customHeight="1" x14ac:dyDescent="0.25">
      <c r="A8" s="140" t="s">
        <v>12</v>
      </c>
      <c r="B8" s="140"/>
      <c r="C8" s="140"/>
      <c r="D8" s="4"/>
      <c r="M8" s="56"/>
      <c r="N8" s="57"/>
      <c r="O8" s="58" t="b">
        <f t="shared" si="0"/>
        <v>0</v>
      </c>
      <c r="T8" s="69" t="s">
        <v>32</v>
      </c>
      <c r="U8" s="82" t="e">
        <f>$C$31</f>
        <v>#DIV/0!</v>
      </c>
      <c r="V8" s="82" t="e">
        <f t="shared" si="1"/>
        <v>#DIV/0!</v>
      </c>
    </row>
    <row r="9" spans="1:24" ht="15" customHeight="1" x14ac:dyDescent="0.2">
      <c r="A9" s="101" t="s">
        <v>11</v>
      </c>
      <c r="B9" s="59">
        <f>COUNT($M$3:$M252)</f>
        <v>0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 t="e">
        <f>$C$22</f>
        <v>#DIV/0!</v>
      </c>
      <c r="V9" s="82" t="e">
        <f t="shared" si="1"/>
        <v>#DIV/0!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 t="e">
        <f>$C$32</f>
        <v>#DIV/0!</v>
      </c>
      <c r="V10" s="82" t="e">
        <f t="shared" si="1"/>
        <v>#DIV/0!</v>
      </c>
    </row>
    <row r="11" spans="1:24" ht="15" customHeight="1" x14ac:dyDescent="0.2">
      <c r="A11" s="102" t="s">
        <v>8</v>
      </c>
      <c r="B11" s="61">
        <f>MAX($N$3:$N$252)</f>
        <v>0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 t="e">
        <f>$B$12</f>
        <v>#NUM!</v>
      </c>
      <c r="V11" s="82" t="e">
        <f>U11</f>
        <v>#NUM!</v>
      </c>
    </row>
    <row r="12" spans="1:24" ht="15" customHeight="1" x14ac:dyDescent="0.2">
      <c r="A12" s="102" t="s">
        <v>68</v>
      </c>
      <c r="B12" s="62" t="e">
        <f>MEDIAN($N$3:$N$252)</f>
        <v>#NUM!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e">
        <f>IF(ABS($G$118)&gt;$J$120,"&gt; 99%",IF(ABS($G$118)&gt;$I$120,"&gt; 95%","nicht signifikant"))</f>
        <v>#DIV/0!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0</v>
      </c>
      <c r="V14" s="78"/>
      <c r="W14" s="79">
        <v>0</v>
      </c>
      <c r="X14" s="80" t="e">
        <f t="shared" ref="X14:X40" si="2">V14/$B$38/$B$9</f>
        <v>#DIV/0!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0</v>
      </c>
      <c r="V15" s="84">
        <f>FREQUENCY($N$3:$N$252,$U$15:$U$39)</f>
        <v>0</v>
      </c>
      <c r="W15" s="79">
        <f t="shared" ref="W15:W39" si="4">(U15+U14)/2</f>
        <v>0</v>
      </c>
      <c r="X15" s="80" t="e">
        <f t="shared" si="2"/>
        <v>#DIV/0!</v>
      </c>
    </row>
    <row r="16" spans="1:24" ht="15" customHeight="1" x14ac:dyDescent="0.2">
      <c r="A16" s="101" t="s">
        <v>73</v>
      </c>
      <c r="B16" s="63" t="e">
        <f>AVERAGE($N$3:$N$252)</f>
        <v>#DIV/0!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0</v>
      </c>
      <c r="V16" s="84">
        <f t="array" ref="V16:V40">FREQUENCY($N$3:$N$252,$U$15:$U$39)</f>
        <v>0</v>
      </c>
      <c r="W16" s="79">
        <f t="shared" si="4"/>
        <v>0</v>
      </c>
      <c r="X16" s="80" t="e">
        <f t="shared" si="2"/>
        <v>#DIV/0!</v>
      </c>
    </row>
    <row r="17" spans="1:24" ht="15" customHeight="1" x14ac:dyDescent="0.2">
      <c r="A17" s="102" t="s">
        <v>75</v>
      </c>
      <c r="B17" s="62" t="e">
        <f>STDEV($N$3:$N$252)</f>
        <v>#DIV/0!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0</v>
      </c>
      <c r="V17" s="84">
        <v>0</v>
      </c>
      <c r="W17" s="79">
        <f t="shared" si="4"/>
        <v>0</v>
      </c>
      <c r="X17" s="80" t="e">
        <f t="shared" si="2"/>
        <v>#DIV/0!</v>
      </c>
    </row>
    <row r="18" spans="1:24" ht="15" customHeight="1" x14ac:dyDescent="0.2">
      <c r="A18" s="102" t="s">
        <v>92</v>
      </c>
      <c r="B18" s="24" t="e">
        <f>((NORMINV(0.83,B16,B17)-B12)-(B12-NORMINV(0.17,B16,B17)))/(NORMINV(0.83,B16,B17)-NORMINV(0.17,B16,B17))</f>
        <v>#DIV/0!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0</v>
      </c>
      <c r="V18" s="84">
        <v>0</v>
      </c>
      <c r="W18" s="79">
        <f t="shared" si="4"/>
        <v>0</v>
      </c>
      <c r="X18" s="80" t="e">
        <f t="shared" si="2"/>
        <v>#DIV/0!</v>
      </c>
    </row>
    <row r="19" spans="1:24" ht="15" customHeight="1" x14ac:dyDescent="0.25">
      <c r="A19" s="102" t="s">
        <v>25</v>
      </c>
      <c r="B19" s="20" t="e">
        <f>IF(ABS(($B$16-$B$12)/$B$16)&lt;=0.1,"gut",IF(ABS(($B$16-$B$12)/$B$16)&lt;=0.2,"mäßig","schlecht"))</f>
        <v>#DIV/0!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</v>
      </c>
      <c r="V19" s="84">
        <v>0</v>
      </c>
      <c r="W19" s="79">
        <f t="shared" si="4"/>
        <v>0</v>
      </c>
      <c r="X19" s="80" t="e">
        <f t="shared" si="2"/>
        <v>#DIV/0!</v>
      </c>
    </row>
    <row r="20" spans="1:24" ht="15" customHeight="1" x14ac:dyDescent="0.2">
      <c r="A20" s="102" t="s">
        <v>44</v>
      </c>
      <c r="B20" s="20" t="e">
        <f>IF(((B11-B10)/B17)&gt;INDEX(XX!$B$4:'XX'!$B$150,$B$9-3),"ja","nein")</f>
        <v>#DIV/0!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</v>
      </c>
      <c r="V20" s="84">
        <v>0</v>
      </c>
      <c r="W20" s="79">
        <f t="shared" si="4"/>
        <v>0</v>
      </c>
      <c r="X20" s="80" t="e">
        <f t="shared" si="2"/>
        <v>#DIV/0!</v>
      </c>
    </row>
    <row r="21" spans="1:24" ht="15" customHeight="1" x14ac:dyDescent="0.2">
      <c r="A21" s="103" t="s">
        <v>76</v>
      </c>
      <c r="B21" s="62" t="e">
        <f>NORMINV(0.975,$B$16,$B$17)</f>
        <v>#DIV/0!</v>
      </c>
      <c r="C21" s="62" t="e">
        <f>NORMINV(0.025,$B$16,$B$17)</f>
        <v>#DIV/0!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</v>
      </c>
      <c r="V21" s="84">
        <v>0</v>
      </c>
      <c r="W21" s="79">
        <f t="shared" si="4"/>
        <v>0</v>
      </c>
      <c r="X21" s="80" t="e">
        <f t="shared" si="2"/>
        <v>#DIV/0!</v>
      </c>
    </row>
    <row r="22" spans="1:24" ht="15" customHeight="1" x14ac:dyDescent="0.2">
      <c r="A22" s="104" t="s">
        <v>77</v>
      </c>
      <c r="B22" s="62" t="e">
        <f>NORMINV(0.99,$B$16,$B$17)</f>
        <v>#DIV/0!</v>
      </c>
      <c r="C22" s="62" t="e">
        <f>NORMINV(0.01,B16,B17)</f>
        <v>#DIV/0!</v>
      </c>
      <c r="M22" s="56"/>
      <c r="N22" s="57"/>
      <c r="O22" s="58" t="b">
        <f t="shared" si="0"/>
        <v>0</v>
      </c>
      <c r="T22" s="69">
        <v>8</v>
      </c>
      <c r="U22" s="77">
        <f t="shared" si="3"/>
        <v>0</v>
      </c>
      <c r="V22" s="84">
        <v>0</v>
      </c>
      <c r="W22" s="79">
        <f t="shared" si="4"/>
        <v>0</v>
      </c>
      <c r="X22" s="80" t="e">
        <f t="shared" si="2"/>
        <v>#DIV/0!</v>
      </c>
    </row>
    <row r="23" spans="1:24" ht="15" customHeight="1" x14ac:dyDescent="0.25">
      <c r="A23" s="112" t="s">
        <v>81</v>
      </c>
      <c r="B23" s="96" t="e">
        <f>MAX($B$22+0.5*$B$6,$B$6)</f>
        <v>#DIV/0!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</v>
      </c>
      <c r="V23" s="84">
        <v>0</v>
      </c>
      <c r="W23" s="79">
        <f t="shared" si="4"/>
        <v>0</v>
      </c>
      <c r="X23" s="80" t="e">
        <f t="shared" si="2"/>
        <v>#DIV/0!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</v>
      </c>
      <c r="V24" s="84">
        <v>0</v>
      </c>
      <c r="W24" s="79">
        <f t="shared" si="4"/>
        <v>0</v>
      </c>
      <c r="X24" s="80" t="e">
        <f t="shared" si="2"/>
        <v>#DIV/0!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 t="e">
        <f>MEDIAN($O$3:$O$252)</f>
        <v>#NUM!</v>
      </c>
      <c r="T25" s="69">
        <v>11</v>
      </c>
      <c r="U25" s="77">
        <f t="shared" si="3"/>
        <v>0</v>
      </c>
      <c r="V25" s="84">
        <v>0</v>
      </c>
      <c r="W25" s="79">
        <f t="shared" si="4"/>
        <v>0</v>
      </c>
      <c r="X25" s="80" t="e">
        <f t="shared" si="2"/>
        <v>#DIV/0!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 t="e">
        <f>AVERAGE($O$3:$O$252)</f>
        <v>#DIV/0!</v>
      </c>
      <c r="T26" s="69">
        <v>12</v>
      </c>
      <c r="U26" s="77">
        <f t="shared" si="3"/>
        <v>0</v>
      </c>
      <c r="V26" s="84">
        <v>0</v>
      </c>
      <c r="W26" s="79">
        <f t="shared" si="4"/>
        <v>0</v>
      </c>
      <c r="X26" s="80" t="e">
        <f t="shared" si="2"/>
        <v>#DIV/0!</v>
      </c>
    </row>
    <row r="27" spans="1:24" ht="15" customHeight="1" x14ac:dyDescent="0.2">
      <c r="A27" s="65" t="s">
        <v>17</v>
      </c>
      <c r="B27" s="62" t="e">
        <f>EXP($R$26)</f>
        <v>#DIV/0!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 t="e">
        <f>STDEV($O$3:$O$252)</f>
        <v>#DIV/0!</v>
      </c>
      <c r="T27" s="69">
        <v>13</v>
      </c>
      <c r="U27" s="77">
        <f t="shared" si="3"/>
        <v>0</v>
      </c>
      <c r="V27" s="84">
        <v>0</v>
      </c>
      <c r="W27" s="79">
        <f t="shared" si="4"/>
        <v>0</v>
      </c>
      <c r="X27" s="80" t="e">
        <f t="shared" si="2"/>
        <v>#DIV/0!</v>
      </c>
    </row>
    <row r="28" spans="1:24" ht="15" customHeight="1" x14ac:dyDescent="0.2">
      <c r="A28" s="65" t="s">
        <v>92</v>
      </c>
      <c r="B28" s="24" t="e">
        <f>((NORMINV(0.83,$R$26,$R$27)-$R25)-($R$25-NORMINV(0.17,$R$26,$R$27)))/(NORMINV(0.83,$R$26,$R$27)-NORMINV(0.17,$R$26,$R$27))</f>
        <v>#DIV/0!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 t="e">
        <f>NORMINV(0.025,$R$26,$R$27)</f>
        <v>#DIV/0!</v>
      </c>
      <c r="T28" s="69">
        <v>14</v>
      </c>
      <c r="U28" s="77">
        <f t="shared" si="3"/>
        <v>0</v>
      </c>
      <c r="V28" s="84">
        <v>0</v>
      </c>
      <c r="W28" s="79">
        <f t="shared" si="4"/>
        <v>0</v>
      </c>
      <c r="X28" s="80" t="e">
        <f t="shared" si="2"/>
        <v>#DIV/0!</v>
      </c>
    </row>
    <row r="29" spans="1:24" ht="15" customHeight="1" x14ac:dyDescent="0.2">
      <c r="A29" s="65" t="s">
        <v>25</v>
      </c>
      <c r="B29" s="62" t="e">
        <f>IF(ABS(($R26-$R$25)/$R$26)&lt;=0.1,"gut",IF(ABS(($R$26-$R$25)/$R$26)&lt;=0.2,"mäßig","schlecht"))</f>
        <v>#DIV/0!</v>
      </c>
      <c r="C29" s="62"/>
      <c r="M29" s="56"/>
      <c r="N29" s="57"/>
      <c r="O29" s="58" t="b">
        <f t="shared" si="0"/>
        <v>0</v>
      </c>
      <c r="Q29" s="75" t="s">
        <v>107</v>
      </c>
      <c r="R29" s="75" t="e">
        <f>NORMINV(0.01,$R$26,$R$27)</f>
        <v>#DIV/0!</v>
      </c>
      <c r="T29" s="69">
        <v>15</v>
      </c>
      <c r="U29" s="77">
        <f t="shared" si="3"/>
        <v>0</v>
      </c>
      <c r="V29" s="84">
        <v>0</v>
      </c>
      <c r="W29" s="79">
        <f t="shared" si="4"/>
        <v>0</v>
      </c>
      <c r="X29" s="80" t="e">
        <f t="shared" si="2"/>
        <v>#DIV/0!</v>
      </c>
    </row>
    <row r="30" spans="1:24" ht="15" customHeight="1" x14ac:dyDescent="0.2">
      <c r="A30" s="65" t="s">
        <v>44</v>
      </c>
      <c r="B30" s="62" t="e">
        <f>IF(((MAX($N$3:$N$252)-MIN($O$3:$O$252))/$R$27)&gt;INDEX(XX!$B$4:$B$150,$B$9-3),"ja","nein")</f>
        <v>#DIV/0!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 t="e">
        <f>NORMINV(0.95,$R$26,$R$27)</f>
        <v>#DIV/0!</v>
      </c>
      <c r="T30" s="69">
        <v>16</v>
      </c>
      <c r="U30" s="77">
        <f t="shared" si="3"/>
        <v>0</v>
      </c>
      <c r="V30" s="84">
        <v>0</v>
      </c>
      <c r="W30" s="79">
        <f t="shared" si="4"/>
        <v>0</v>
      </c>
      <c r="X30" s="80" t="e">
        <f t="shared" si="2"/>
        <v>#DIV/0!</v>
      </c>
    </row>
    <row r="31" spans="1:24" ht="15" customHeight="1" x14ac:dyDescent="0.2">
      <c r="A31" s="65" t="s">
        <v>98</v>
      </c>
      <c r="B31" s="62" t="e">
        <f>EXP($R30)-$B$26</f>
        <v>#DIV/0!</v>
      </c>
      <c r="C31" s="62" t="e">
        <f>NORMINV(0.025,$R$26,$R$27)</f>
        <v>#DIV/0!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 t="e">
        <f>NORMINV(0.98,$R$26,$R$27)</f>
        <v>#DIV/0!</v>
      </c>
      <c r="T31" s="69">
        <v>17</v>
      </c>
      <c r="U31" s="77">
        <f t="shared" si="3"/>
        <v>0</v>
      </c>
      <c r="V31" s="84">
        <v>0</v>
      </c>
      <c r="W31" s="79">
        <f t="shared" si="4"/>
        <v>0</v>
      </c>
      <c r="X31" s="80" t="e">
        <f t="shared" si="2"/>
        <v>#DIV/0!</v>
      </c>
    </row>
    <row r="32" spans="1:24" ht="15" customHeight="1" x14ac:dyDescent="0.2">
      <c r="A32" s="65" t="s">
        <v>86</v>
      </c>
      <c r="B32" s="62" t="e">
        <f>EXP($R$31)-$B$26</f>
        <v>#DIV/0!</v>
      </c>
      <c r="C32" s="62" t="e">
        <f>NORMINV(0.01,$R$26,$R$27)</f>
        <v>#DIV/0!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</v>
      </c>
      <c r="V32" s="84">
        <v>0</v>
      </c>
      <c r="W32" s="79">
        <f t="shared" si="4"/>
        <v>0</v>
      </c>
      <c r="X32" s="80" t="e">
        <f t="shared" si="2"/>
        <v>#DIV/0!</v>
      </c>
    </row>
    <row r="33" spans="1:24" ht="15" customHeight="1" x14ac:dyDescent="0.25">
      <c r="A33" s="112" t="s">
        <v>81</v>
      </c>
      <c r="B33" s="113" t="e">
        <f>MAX($B$32+0.5*$B$6,B6)</f>
        <v>#DIV/0!</v>
      </c>
      <c r="M33" s="56"/>
      <c r="N33" s="57"/>
      <c r="O33" s="58" t="b">
        <f t="shared" si="0"/>
        <v>0</v>
      </c>
      <c r="T33" s="69">
        <v>19</v>
      </c>
      <c r="U33" s="77">
        <f t="shared" si="3"/>
        <v>0</v>
      </c>
      <c r="V33" s="84">
        <v>0</v>
      </c>
      <c r="W33" s="79">
        <f t="shared" si="4"/>
        <v>0</v>
      </c>
      <c r="X33" s="80" t="e">
        <f t="shared" si="2"/>
        <v>#DIV/0!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</v>
      </c>
      <c r="V34" s="84">
        <v>0</v>
      </c>
      <c r="W34" s="79">
        <f t="shared" si="4"/>
        <v>0</v>
      </c>
      <c r="X34" s="80" t="e">
        <f t="shared" si="2"/>
        <v>#DIV/0!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</v>
      </c>
      <c r="V35" s="84">
        <v>0</v>
      </c>
      <c r="W35" s="79">
        <f t="shared" si="4"/>
        <v>0</v>
      </c>
      <c r="X35" s="80" t="e">
        <f t="shared" si="2"/>
        <v>#DIV/0!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</v>
      </c>
      <c r="V36" s="84">
        <v>0</v>
      </c>
      <c r="W36" s="79">
        <f t="shared" si="4"/>
        <v>0</v>
      </c>
      <c r="X36" s="80" t="e">
        <f t="shared" si="2"/>
        <v>#DIV/0!</v>
      </c>
    </row>
    <row r="37" spans="1:24" ht="15.75" x14ac:dyDescent="0.25">
      <c r="A37" s="103" t="s">
        <v>8</v>
      </c>
      <c r="B37" s="52">
        <f>1.05*B11</f>
        <v>0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</v>
      </c>
      <c r="V37" s="84">
        <v>0</v>
      </c>
      <c r="W37" s="79">
        <f t="shared" si="4"/>
        <v>0</v>
      </c>
      <c r="X37" s="80" t="e">
        <f t="shared" si="2"/>
        <v>#DIV/0!</v>
      </c>
    </row>
    <row r="38" spans="1:24" ht="15" x14ac:dyDescent="0.2">
      <c r="A38" s="104" t="s">
        <v>19</v>
      </c>
      <c r="B38" s="53">
        <f>($B$37-$B$36)/25</f>
        <v>0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</v>
      </c>
      <c r="V38" s="84">
        <v>0</v>
      </c>
      <c r="W38" s="79">
        <f t="shared" si="4"/>
        <v>0</v>
      </c>
      <c r="X38" s="80" t="e">
        <f t="shared" si="2"/>
        <v>#DIV/0!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</v>
      </c>
      <c r="V39" s="84">
        <v>0</v>
      </c>
      <c r="W39" s="79">
        <f t="shared" si="4"/>
        <v>0</v>
      </c>
      <c r="X39" s="80" t="e">
        <f t="shared" si="2"/>
        <v>#DIV/0!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 t="e">
        <f t="shared" si="2"/>
        <v>#DIV/0!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0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0</v>
      </c>
      <c r="U47" s="28" t="e">
        <f>$X$15</f>
        <v>#DIV/0!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</v>
      </c>
      <c r="U48" s="28" t="e">
        <f>$X$15</f>
        <v>#DIV/0!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</v>
      </c>
      <c r="U49" s="28" t="e">
        <f>$X$16</f>
        <v>#DIV/0!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</v>
      </c>
      <c r="U50" s="28" t="e">
        <f>$X$16</f>
        <v>#DIV/0!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</v>
      </c>
      <c r="U51" s="28" t="e">
        <f>$X$17</f>
        <v>#DIV/0!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</v>
      </c>
      <c r="U52" s="28" t="e">
        <f>$X$17</f>
        <v>#DIV/0!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</v>
      </c>
      <c r="U53" s="28" t="e">
        <f>$X$18</f>
        <v>#DIV/0!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</v>
      </c>
      <c r="U54" s="28" t="e">
        <f>$X$18</f>
        <v>#DIV/0!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</v>
      </c>
      <c r="U55" s="28" t="e">
        <f>$X$19</f>
        <v>#DIV/0!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</v>
      </c>
      <c r="U56" s="28" t="e">
        <f>$X$19</f>
        <v>#DIV/0!</v>
      </c>
    </row>
    <row r="57" spans="5:21" ht="15" x14ac:dyDescent="0.2">
      <c r="E57" s="70">
        <v>1</v>
      </c>
      <c r="F57" s="74" t="e">
        <f>$B$21</f>
        <v>#DIV/0!</v>
      </c>
      <c r="G57" s="74" t="e">
        <f>$C$21</f>
        <v>#DIV/0!</v>
      </c>
      <c r="H57" s="74" t="e">
        <f>$B$22</f>
        <v>#DIV/0!</v>
      </c>
      <c r="I57" s="74" t="e">
        <f>$C$22</f>
        <v>#DIV/0!</v>
      </c>
      <c r="J57" s="74" t="e">
        <f>$B$31</f>
        <v>#DIV/0!</v>
      </c>
      <c r="K57" s="74" t="e">
        <f>$B$32</f>
        <v>#DIV/0!</v>
      </c>
      <c r="M57" s="56"/>
      <c r="N57" s="57"/>
      <c r="O57" s="58" t="b">
        <f t="shared" si="0"/>
        <v>0</v>
      </c>
      <c r="T57" s="85">
        <f>$U$19+$B$38/100</f>
        <v>0</v>
      </c>
      <c r="U57" s="28" t="e">
        <f>$X$20</f>
        <v>#DIV/0!</v>
      </c>
    </row>
    <row r="58" spans="5:21" ht="15" x14ac:dyDescent="0.2">
      <c r="E58" s="70">
        <v>73415</v>
      </c>
      <c r="F58" s="74" t="e">
        <f>$B$21</f>
        <v>#DIV/0!</v>
      </c>
      <c r="G58" s="74" t="e">
        <f>$C$21</f>
        <v>#DIV/0!</v>
      </c>
      <c r="H58" s="74" t="e">
        <f>$B$22</f>
        <v>#DIV/0!</v>
      </c>
      <c r="I58" s="74" t="e">
        <f>$C$22</f>
        <v>#DIV/0!</v>
      </c>
      <c r="J58" s="74" t="e">
        <f>$B$31</f>
        <v>#DIV/0!</v>
      </c>
      <c r="K58" s="74" t="e">
        <f>$B$32</f>
        <v>#DIV/0!</v>
      </c>
      <c r="M58" s="56"/>
      <c r="N58" s="57"/>
      <c r="O58" s="58" t="b">
        <f t="shared" si="0"/>
        <v>0</v>
      </c>
      <c r="T58" s="85">
        <f>$U$20-$B$38/100</f>
        <v>0</v>
      </c>
      <c r="U58" s="28" t="e">
        <f>$X$20</f>
        <v>#DIV/0!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</v>
      </c>
      <c r="U59" s="28" t="e">
        <f>$X$21</f>
        <v>#DIV/0!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</v>
      </c>
      <c r="U60" s="28" t="e">
        <f>$X$21</f>
        <v>#DIV/0!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</v>
      </c>
      <c r="U61" s="28" t="e">
        <f>$X$22</f>
        <v>#DIV/0!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</v>
      </c>
      <c r="U62" s="28" t="e">
        <f>$X$22</f>
        <v>#DIV/0!</v>
      </c>
    </row>
    <row r="63" spans="5:21" ht="15" x14ac:dyDescent="0.2">
      <c r="E63" s="72">
        <v>-5</v>
      </c>
      <c r="F63" s="73" t="e">
        <f>$B$16+$E63*$B$17</f>
        <v>#DIV/0!</v>
      </c>
      <c r="G63" s="73" t="e">
        <f>NORMDIST($F63,$B$16,$B$17,FALSE)</f>
        <v>#DIV/0!</v>
      </c>
      <c r="H63" s="73" t="e">
        <f>EXP($R$26+$E63*$R$27)</f>
        <v>#DIV/0!</v>
      </c>
      <c r="I63" s="73" t="e">
        <f t="shared" ref="I63:I113" si="5">H63-$B$26</f>
        <v>#DIV/0!</v>
      </c>
      <c r="J63" s="73" t="e">
        <f>1/$H63/SQRT(2*PI())/$R$27*EXP(-POWER(LN($H63)-$R$26,2)/2/POWER($R$27,2))</f>
        <v>#DIV/0!</v>
      </c>
      <c r="K63" s="73" t="e">
        <f>LOGNORMDIST($H63,$R$26,$R$27)</f>
        <v>#DIV/0!</v>
      </c>
      <c r="M63" s="56"/>
      <c r="N63" s="57"/>
      <c r="O63" s="58" t="b">
        <f t="shared" si="0"/>
        <v>0</v>
      </c>
      <c r="T63" s="85">
        <f>$U$22+$B$38/100</f>
        <v>0</v>
      </c>
      <c r="U63" s="28" t="e">
        <f>$X$23</f>
        <v>#DIV/0!</v>
      </c>
    </row>
    <row r="64" spans="5:21" ht="15" x14ac:dyDescent="0.2">
      <c r="E64" s="72">
        <v>-4.8</v>
      </c>
      <c r="F64" s="73" t="e">
        <f t="shared" ref="F64:F113" si="6">$B$16+$E64*$B$17</f>
        <v>#DIV/0!</v>
      </c>
      <c r="G64" s="73" t="e">
        <f t="shared" ref="G64:G113" si="7">NORMDIST($F64,$B$16,$B$17,FALSE)</f>
        <v>#DIV/0!</v>
      </c>
      <c r="H64" s="73" t="e">
        <f t="shared" ref="H64:H113" si="8">EXP($R$26+$E64*$R$27)</f>
        <v>#DIV/0!</v>
      </c>
      <c r="I64" s="73" t="e">
        <f t="shared" si="5"/>
        <v>#DIV/0!</v>
      </c>
      <c r="J64" s="73" t="e">
        <f t="shared" ref="J64:J113" si="9">1/$H64/SQRT(2*PI())/$R$27*EXP(-POWER(LN($H64)-$R$26,2)/2/POWER($R$27,2))</f>
        <v>#DIV/0!</v>
      </c>
      <c r="K64" s="73" t="e">
        <f t="shared" ref="K64:K113" si="10">LOGNORMDIST($H64,$R$26,$R$27)</f>
        <v>#DIV/0!</v>
      </c>
      <c r="M64" s="56"/>
      <c r="N64" s="57"/>
      <c r="O64" s="58" t="b">
        <f t="shared" si="0"/>
        <v>0</v>
      </c>
      <c r="T64" s="85">
        <f>$U$23-$B$38/100</f>
        <v>0</v>
      </c>
      <c r="U64" s="28" t="e">
        <f>$X$23</f>
        <v>#DIV/0!</v>
      </c>
    </row>
    <row r="65" spans="5:21" ht="15" x14ac:dyDescent="0.2">
      <c r="E65" s="72">
        <v>-4.5999999999999996</v>
      </c>
      <c r="F65" s="73" t="e">
        <f t="shared" si="6"/>
        <v>#DIV/0!</v>
      </c>
      <c r="G65" s="73" t="e">
        <f t="shared" si="7"/>
        <v>#DIV/0!</v>
      </c>
      <c r="H65" s="73" t="e">
        <f t="shared" si="8"/>
        <v>#DIV/0!</v>
      </c>
      <c r="I65" s="73" t="e">
        <f t="shared" si="5"/>
        <v>#DIV/0!</v>
      </c>
      <c r="J65" s="73" t="e">
        <f t="shared" si="9"/>
        <v>#DIV/0!</v>
      </c>
      <c r="K65" s="73" t="e">
        <f t="shared" si="10"/>
        <v>#DIV/0!</v>
      </c>
      <c r="M65" s="56"/>
      <c r="N65" s="57"/>
      <c r="O65" s="58" t="b">
        <f t="shared" si="0"/>
        <v>0</v>
      </c>
      <c r="T65" s="85">
        <f>$U$23+$B$38/100</f>
        <v>0</v>
      </c>
      <c r="U65" s="28" t="e">
        <f>$X$24</f>
        <v>#DIV/0!</v>
      </c>
    </row>
    <row r="66" spans="5:21" ht="15" x14ac:dyDescent="0.2">
      <c r="E66" s="72">
        <v>-4.4000000000000004</v>
      </c>
      <c r="F66" s="73" t="e">
        <f t="shared" si="6"/>
        <v>#DIV/0!</v>
      </c>
      <c r="G66" s="73" t="e">
        <f t="shared" si="7"/>
        <v>#DIV/0!</v>
      </c>
      <c r="H66" s="73" t="e">
        <f t="shared" si="8"/>
        <v>#DIV/0!</v>
      </c>
      <c r="I66" s="73" t="e">
        <f t="shared" si="5"/>
        <v>#DIV/0!</v>
      </c>
      <c r="J66" s="73" t="e">
        <f t="shared" si="9"/>
        <v>#DIV/0!</v>
      </c>
      <c r="K66" s="73" t="e">
        <f t="shared" si="10"/>
        <v>#DIV/0!</v>
      </c>
      <c r="M66" s="56"/>
      <c r="N66" s="57"/>
      <c r="O66" s="58" t="b">
        <f t="shared" si="0"/>
        <v>0</v>
      </c>
      <c r="T66" s="85">
        <f>$U$24-$B$38/100</f>
        <v>0</v>
      </c>
      <c r="U66" s="28" t="e">
        <f>$X$24</f>
        <v>#DIV/0!</v>
      </c>
    </row>
    <row r="67" spans="5:21" ht="15" x14ac:dyDescent="0.2">
      <c r="E67" s="72">
        <v>-4.2</v>
      </c>
      <c r="F67" s="73" t="e">
        <f t="shared" si="6"/>
        <v>#DIV/0!</v>
      </c>
      <c r="G67" s="73" t="e">
        <f t="shared" si="7"/>
        <v>#DIV/0!</v>
      </c>
      <c r="H67" s="73" t="e">
        <f t="shared" si="8"/>
        <v>#DIV/0!</v>
      </c>
      <c r="I67" s="73" t="e">
        <f t="shared" si="5"/>
        <v>#DIV/0!</v>
      </c>
      <c r="J67" s="73" t="e">
        <f t="shared" si="9"/>
        <v>#DIV/0!</v>
      </c>
      <c r="K67" s="73" t="e">
        <f t="shared" si="10"/>
        <v>#DIV/0!</v>
      </c>
      <c r="M67" s="56"/>
      <c r="N67" s="57"/>
      <c r="O67" s="58" t="b">
        <f t="shared" ref="O67:O130" si="11">IF($N67&gt;0,LN($N67+$B$26))</f>
        <v>0</v>
      </c>
      <c r="T67" s="85">
        <f>$U$24+$B$38/100</f>
        <v>0</v>
      </c>
      <c r="U67" s="28" t="e">
        <f>$X$25</f>
        <v>#DIV/0!</v>
      </c>
    </row>
    <row r="68" spans="5:21" ht="15" x14ac:dyDescent="0.2">
      <c r="E68" s="72">
        <v>-4</v>
      </c>
      <c r="F68" s="73" t="e">
        <f t="shared" si="6"/>
        <v>#DIV/0!</v>
      </c>
      <c r="G68" s="73" t="e">
        <f t="shared" si="7"/>
        <v>#DIV/0!</v>
      </c>
      <c r="H68" s="73" t="e">
        <f t="shared" si="8"/>
        <v>#DIV/0!</v>
      </c>
      <c r="I68" s="73" t="e">
        <f t="shared" si="5"/>
        <v>#DIV/0!</v>
      </c>
      <c r="J68" s="73" t="e">
        <f t="shared" si="9"/>
        <v>#DIV/0!</v>
      </c>
      <c r="K68" s="73" t="e">
        <f t="shared" si="10"/>
        <v>#DIV/0!</v>
      </c>
      <c r="M68" s="56"/>
      <c r="N68" s="57"/>
      <c r="O68" s="58" t="b">
        <f t="shared" si="11"/>
        <v>0</v>
      </c>
      <c r="T68" s="85">
        <f>$U$25-$B$38/100</f>
        <v>0</v>
      </c>
      <c r="U68" s="28" t="e">
        <f>$X$25</f>
        <v>#DIV/0!</v>
      </c>
    </row>
    <row r="69" spans="5:21" ht="15" x14ac:dyDescent="0.2">
      <c r="E69" s="72">
        <v>-3.8</v>
      </c>
      <c r="F69" s="73" t="e">
        <f t="shared" si="6"/>
        <v>#DIV/0!</v>
      </c>
      <c r="G69" s="73" t="e">
        <f t="shared" si="7"/>
        <v>#DIV/0!</v>
      </c>
      <c r="H69" s="73" t="e">
        <f t="shared" si="8"/>
        <v>#DIV/0!</v>
      </c>
      <c r="I69" s="73" t="e">
        <f t="shared" si="5"/>
        <v>#DIV/0!</v>
      </c>
      <c r="J69" s="73" t="e">
        <f t="shared" si="9"/>
        <v>#DIV/0!</v>
      </c>
      <c r="K69" s="73" t="e">
        <f t="shared" si="10"/>
        <v>#DIV/0!</v>
      </c>
      <c r="M69" s="56"/>
      <c r="N69" s="57"/>
      <c r="O69" s="58" t="b">
        <f t="shared" si="11"/>
        <v>0</v>
      </c>
      <c r="T69" s="85">
        <f>$U$25+$B$38/100</f>
        <v>0</v>
      </c>
      <c r="U69" s="28" t="e">
        <f>$X$26</f>
        <v>#DIV/0!</v>
      </c>
    </row>
    <row r="70" spans="5:21" ht="15" x14ac:dyDescent="0.2">
      <c r="E70" s="72">
        <v>-3.6</v>
      </c>
      <c r="F70" s="73" t="e">
        <f t="shared" si="6"/>
        <v>#DIV/0!</v>
      </c>
      <c r="G70" s="73" t="e">
        <f t="shared" si="7"/>
        <v>#DIV/0!</v>
      </c>
      <c r="H70" s="73" t="e">
        <f t="shared" si="8"/>
        <v>#DIV/0!</v>
      </c>
      <c r="I70" s="73" t="e">
        <f t="shared" si="5"/>
        <v>#DIV/0!</v>
      </c>
      <c r="J70" s="73" t="e">
        <f t="shared" si="9"/>
        <v>#DIV/0!</v>
      </c>
      <c r="K70" s="73" t="e">
        <f t="shared" si="10"/>
        <v>#DIV/0!</v>
      </c>
      <c r="M70" s="56"/>
      <c r="N70" s="57"/>
      <c r="O70" s="58" t="b">
        <f t="shared" si="11"/>
        <v>0</v>
      </c>
      <c r="T70" s="85">
        <f>$U$26-$B$38/100</f>
        <v>0</v>
      </c>
      <c r="U70" s="28" t="e">
        <f>$X$26</f>
        <v>#DIV/0!</v>
      </c>
    </row>
    <row r="71" spans="5:21" ht="15" x14ac:dyDescent="0.2">
      <c r="E71" s="72">
        <v>-3.4</v>
      </c>
      <c r="F71" s="73" t="e">
        <f t="shared" si="6"/>
        <v>#DIV/0!</v>
      </c>
      <c r="G71" s="73" t="e">
        <f t="shared" si="7"/>
        <v>#DIV/0!</v>
      </c>
      <c r="H71" s="73" t="e">
        <f t="shared" si="8"/>
        <v>#DIV/0!</v>
      </c>
      <c r="I71" s="73" t="e">
        <f t="shared" si="5"/>
        <v>#DIV/0!</v>
      </c>
      <c r="J71" s="73" t="e">
        <f t="shared" si="9"/>
        <v>#DIV/0!</v>
      </c>
      <c r="K71" s="73" t="e">
        <f t="shared" si="10"/>
        <v>#DIV/0!</v>
      </c>
      <c r="M71" s="56"/>
      <c r="N71" s="57"/>
      <c r="O71" s="58" t="b">
        <f t="shared" si="11"/>
        <v>0</v>
      </c>
      <c r="T71" s="85">
        <f>$U$26+$B$38/100</f>
        <v>0</v>
      </c>
      <c r="U71" s="28" t="e">
        <f>$X$27</f>
        <v>#DIV/0!</v>
      </c>
    </row>
    <row r="72" spans="5:21" ht="15" x14ac:dyDescent="0.2">
      <c r="E72" s="72">
        <v>-3.2</v>
      </c>
      <c r="F72" s="73" t="e">
        <f t="shared" si="6"/>
        <v>#DIV/0!</v>
      </c>
      <c r="G72" s="73" t="e">
        <f t="shared" si="7"/>
        <v>#DIV/0!</v>
      </c>
      <c r="H72" s="73" t="e">
        <f t="shared" si="8"/>
        <v>#DIV/0!</v>
      </c>
      <c r="I72" s="73" t="e">
        <f t="shared" si="5"/>
        <v>#DIV/0!</v>
      </c>
      <c r="J72" s="73" t="e">
        <f t="shared" si="9"/>
        <v>#DIV/0!</v>
      </c>
      <c r="K72" s="73" t="e">
        <f t="shared" si="10"/>
        <v>#DIV/0!</v>
      </c>
      <c r="M72" s="56"/>
      <c r="N72" s="57"/>
      <c r="O72" s="58" t="b">
        <f t="shared" si="11"/>
        <v>0</v>
      </c>
      <c r="T72" s="85">
        <f>$U$27-$B$38/100</f>
        <v>0</v>
      </c>
      <c r="U72" s="28" t="e">
        <f>$X$27</f>
        <v>#DIV/0!</v>
      </c>
    </row>
    <row r="73" spans="5:21" ht="15" x14ac:dyDescent="0.2">
      <c r="E73" s="72">
        <v>-3</v>
      </c>
      <c r="F73" s="73" t="e">
        <f t="shared" si="6"/>
        <v>#DIV/0!</v>
      </c>
      <c r="G73" s="73" t="e">
        <f t="shared" si="7"/>
        <v>#DIV/0!</v>
      </c>
      <c r="H73" s="73" t="e">
        <f t="shared" si="8"/>
        <v>#DIV/0!</v>
      </c>
      <c r="I73" s="73" t="e">
        <f t="shared" si="5"/>
        <v>#DIV/0!</v>
      </c>
      <c r="J73" s="73" t="e">
        <f t="shared" si="9"/>
        <v>#DIV/0!</v>
      </c>
      <c r="K73" s="73" t="e">
        <f t="shared" si="10"/>
        <v>#DIV/0!</v>
      </c>
      <c r="M73" s="56"/>
      <c r="N73" s="57"/>
      <c r="O73" s="58" t="b">
        <f t="shared" si="11"/>
        <v>0</v>
      </c>
      <c r="T73" s="85">
        <f>$U$27+$B$38/100</f>
        <v>0</v>
      </c>
      <c r="U73" s="28" t="e">
        <f>$X$28</f>
        <v>#DIV/0!</v>
      </c>
    </row>
    <row r="74" spans="5:21" ht="15" x14ac:dyDescent="0.2">
      <c r="E74" s="72">
        <v>-2.8</v>
      </c>
      <c r="F74" s="73" t="e">
        <f t="shared" si="6"/>
        <v>#DIV/0!</v>
      </c>
      <c r="G74" s="73" t="e">
        <f t="shared" si="7"/>
        <v>#DIV/0!</v>
      </c>
      <c r="H74" s="73" t="e">
        <f t="shared" si="8"/>
        <v>#DIV/0!</v>
      </c>
      <c r="I74" s="73" t="e">
        <f t="shared" si="5"/>
        <v>#DIV/0!</v>
      </c>
      <c r="J74" s="73" t="e">
        <f t="shared" si="9"/>
        <v>#DIV/0!</v>
      </c>
      <c r="K74" s="73" t="e">
        <f t="shared" si="10"/>
        <v>#DIV/0!</v>
      </c>
      <c r="M74" s="56"/>
      <c r="N74" s="57"/>
      <c r="O74" s="58" t="b">
        <f t="shared" si="11"/>
        <v>0</v>
      </c>
      <c r="T74" s="85">
        <f>$U$28-$B$38/100</f>
        <v>0</v>
      </c>
      <c r="U74" s="28" t="e">
        <f>$X$28</f>
        <v>#DIV/0!</v>
      </c>
    </row>
    <row r="75" spans="5:21" ht="15" x14ac:dyDescent="0.2">
      <c r="E75" s="72">
        <v>-2.6</v>
      </c>
      <c r="F75" s="73" t="e">
        <f t="shared" si="6"/>
        <v>#DIV/0!</v>
      </c>
      <c r="G75" s="73" t="e">
        <f t="shared" si="7"/>
        <v>#DIV/0!</v>
      </c>
      <c r="H75" s="73" t="e">
        <f t="shared" si="8"/>
        <v>#DIV/0!</v>
      </c>
      <c r="I75" s="73" t="e">
        <f t="shared" si="5"/>
        <v>#DIV/0!</v>
      </c>
      <c r="J75" s="73" t="e">
        <f t="shared" si="9"/>
        <v>#DIV/0!</v>
      </c>
      <c r="K75" s="73" t="e">
        <f t="shared" si="10"/>
        <v>#DIV/0!</v>
      </c>
      <c r="M75" s="56"/>
      <c r="N75" s="57"/>
      <c r="O75" s="58" t="b">
        <f t="shared" si="11"/>
        <v>0</v>
      </c>
      <c r="T75" s="85">
        <f>$U$28+$B$38/100</f>
        <v>0</v>
      </c>
      <c r="U75" s="28" t="e">
        <f>$X$29</f>
        <v>#DIV/0!</v>
      </c>
    </row>
    <row r="76" spans="5:21" ht="15" x14ac:dyDescent="0.2">
      <c r="E76" s="72">
        <v>-2.4</v>
      </c>
      <c r="F76" s="73" t="e">
        <f t="shared" si="6"/>
        <v>#DIV/0!</v>
      </c>
      <c r="G76" s="73" t="e">
        <f t="shared" si="7"/>
        <v>#DIV/0!</v>
      </c>
      <c r="H76" s="73" t="e">
        <f t="shared" si="8"/>
        <v>#DIV/0!</v>
      </c>
      <c r="I76" s="73" t="e">
        <f t="shared" si="5"/>
        <v>#DIV/0!</v>
      </c>
      <c r="J76" s="73" t="e">
        <f t="shared" si="9"/>
        <v>#DIV/0!</v>
      </c>
      <c r="K76" s="73" t="e">
        <f t="shared" si="10"/>
        <v>#DIV/0!</v>
      </c>
      <c r="M76" s="56"/>
      <c r="N76" s="57"/>
      <c r="O76" s="58" t="b">
        <f t="shared" si="11"/>
        <v>0</v>
      </c>
      <c r="T76" s="85">
        <f>$U$29-$B$38/100</f>
        <v>0</v>
      </c>
      <c r="U76" s="28" t="e">
        <f>$X$29</f>
        <v>#DIV/0!</v>
      </c>
    </row>
    <row r="77" spans="5:21" ht="15" x14ac:dyDescent="0.2">
      <c r="E77" s="72">
        <v>-2.2000000000000002</v>
      </c>
      <c r="F77" s="73" t="e">
        <f t="shared" si="6"/>
        <v>#DIV/0!</v>
      </c>
      <c r="G77" s="73" t="e">
        <f t="shared" si="7"/>
        <v>#DIV/0!</v>
      </c>
      <c r="H77" s="73" t="e">
        <f t="shared" si="8"/>
        <v>#DIV/0!</v>
      </c>
      <c r="I77" s="73" t="e">
        <f t="shared" si="5"/>
        <v>#DIV/0!</v>
      </c>
      <c r="J77" s="73" t="e">
        <f t="shared" si="9"/>
        <v>#DIV/0!</v>
      </c>
      <c r="K77" s="73" t="e">
        <f t="shared" si="10"/>
        <v>#DIV/0!</v>
      </c>
      <c r="L77" s="16"/>
      <c r="M77" s="56"/>
      <c r="N77" s="57"/>
      <c r="O77" s="58" t="b">
        <f t="shared" si="11"/>
        <v>0</v>
      </c>
      <c r="T77" s="85">
        <f>$U$29+$B$38/100</f>
        <v>0</v>
      </c>
      <c r="U77" s="28" t="e">
        <f>$X$30</f>
        <v>#DIV/0!</v>
      </c>
    </row>
    <row r="78" spans="5:21" ht="15" x14ac:dyDescent="0.2">
      <c r="E78" s="72">
        <v>-2</v>
      </c>
      <c r="F78" s="73" t="e">
        <f t="shared" si="6"/>
        <v>#DIV/0!</v>
      </c>
      <c r="G78" s="73" t="e">
        <f t="shared" si="7"/>
        <v>#DIV/0!</v>
      </c>
      <c r="H78" s="73" t="e">
        <f t="shared" si="8"/>
        <v>#DIV/0!</v>
      </c>
      <c r="I78" s="73" t="e">
        <f t="shared" si="5"/>
        <v>#DIV/0!</v>
      </c>
      <c r="J78" s="73" t="e">
        <f t="shared" si="9"/>
        <v>#DIV/0!</v>
      </c>
      <c r="K78" s="73" t="e">
        <f t="shared" si="10"/>
        <v>#DIV/0!</v>
      </c>
      <c r="L78" s="16"/>
      <c r="M78" s="56"/>
      <c r="N78" s="57"/>
      <c r="O78" s="58" t="b">
        <f t="shared" si="11"/>
        <v>0</v>
      </c>
      <c r="T78" s="85">
        <f>$U$30-$B$38/100</f>
        <v>0</v>
      </c>
      <c r="U78" s="28" t="e">
        <f>$X$30</f>
        <v>#DIV/0!</v>
      </c>
    </row>
    <row r="79" spans="5:21" ht="15" x14ac:dyDescent="0.2">
      <c r="E79" s="72">
        <v>-1.8</v>
      </c>
      <c r="F79" s="73" t="e">
        <f t="shared" si="6"/>
        <v>#DIV/0!</v>
      </c>
      <c r="G79" s="73" t="e">
        <f t="shared" si="7"/>
        <v>#DIV/0!</v>
      </c>
      <c r="H79" s="73" t="e">
        <f t="shared" si="8"/>
        <v>#DIV/0!</v>
      </c>
      <c r="I79" s="73" t="e">
        <f t="shared" si="5"/>
        <v>#DIV/0!</v>
      </c>
      <c r="J79" s="73" t="e">
        <f t="shared" si="9"/>
        <v>#DIV/0!</v>
      </c>
      <c r="K79" s="73" t="e">
        <f t="shared" si="10"/>
        <v>#DIV/0!</v>
      </c>
      <c r="L79" s="16"/>
      <c r="M79" s="56"/>
      <c r="N79" s="57"/>
      <c r="O79" s="58" t="b">
        <f t="shared" si="11"/>
        <v>0</v>
      </c>
      <c r="T79" s="85">
        <f>$U$30+$B$38/100</f>
        <v>0</v>
      </c>
      <c r="U79" s="28" t="e">
        <f>$X$31</f>
        <v>#DIV/0!</v>
      </c>
    </row>
    <row r="80" spans="5:21" ht="15" x14ac:dyDescent="0.2">
      <c r="E80" s="72">
        <v>-1.6</v>
      </c>
      <c r="F80" s="73" t="e">
        <f t="shared" si="6"/>
        <v>#DIV/0!</v>
      </c>
      <c r="G80" s="73" t="e">
        <f t="shared" si="7"/>
        <v>#DIV/0!</v>
      </c>
      <c r="H80" s="73" t="e">
        <f t="shared" si="8"/>
        <v>#DIV/0!</v>
      </c>
      <c r="I80" s="73" t="e">
        <f t="shared" si="5"/>
        <v>#DIV/0!</v>
      </c>
      <c r="J80" s="73" t="e">
        <f t="shared" si="9"/>
        <v>#DIV/0!</v>
      </c>
      <c r="K80" s="73" t="e">
        <f t="shared" si="10"/>
        <v>#DIV/0!</v>
      </c>
      <c r="L80" s="16"/>
      <c r="M80" s="56"/>
      <c r="N80" s="57"/>
      <c r="O80" s="58" t="b">
        <f t="shared" si="11"/>
        <v>0</v>
      </c>
      <c r="T80" s="85">
        <f>$U$31-$B$38/100</f>
        <v>0</v>
      </c>
      <c r="U80" s="28" t="e">
        <f>$X$31</f>
        <v>#DIV/0!</v>
      </c>
    </row>
    <row r="81" spans="5:21" ht="15" x14ac:dyDescent="0.2">
      <c r="E81" s="72">
        <v>-1.4</v>
      </c>
      <c r="F81" s="73" t="e">
        <f t="shared" si="6"/>
        <v>#DIV/0!</v>
      </c>
      <c r="G81" s="73" t="e">
        <f t="shared" si="7"/>
        <v>#DIV/0!</v>
      </c>
      <c r="H81" s="73" t="e">
        <f t="shared" si="8"/>
        <v>#DIV/0!</v>
      </c>
      <c r="I81" s="73" t="e">
        <f t="shared" si="5"/>
        <v>#DIV/0!</v>
      </c>
      <c r="J81" s="73" t="e">
        <f t="shared" si="9"/>
        <v>#DIV/0!</v>
      </c>
      <c r="K81" s="73" t="e">
        <f t="shared" si="10"/>
        <v>#DIV/0!</v>
      </c>
      <c r="L81" s="14"/>
      <c r="M81" s="56"/>
      <c r="N81" s="57"/>
      <c r="O81" s="58" t="b">
        <f t="shared" si="11"/>
        <v>0</v>
      </c>
      <c r="T81" s="85">
        <f>$U$31+$B$38/100</f>
        <v>0</v>
      </c>
      <c r="U81" s="28" t="e">
        <f>$X$32</f>
        <v>#DIV/0!</v>
      </c>
    </row>
    <row r="82" spans="5:21" ht="15" x14ac:dyDescent="0.2">
      <c r="E82" s="72">
        <v>-1.2</v>
      </c>
      <c r="F82" s="73" t="e">
        <f t="shared" si="6"/>
        <v>#DIV/0!</v>
      </c>
      <c r="G82" s="73" t="e">
        <f t="shared" si="7"/>
        <v>#DIV/0!</v>
      </c>
      <c r="H82" s="73" t="e">
        <f t="shared" si="8"/>
        <v>#DIV/0!</v>
      </c>
      <c r="I82" s="73" t="e">
        <f t="shared" si="5"/>
        <v>#DIV/0!</v>
      </c>
      <c r="J82" s="73" t="e">
        <f t="shared" si="9"/>
        <v>#DIV/0!</v>
      </c>
      <c r="K82" s="73" t="e">
        <f t="shared" si="10"/>
        <v>#DIV/0!</v>
      </c>
      <c r="L82" s="14"/>
      <c r="M82" s="56"/>
      <c r="N82" s="57"/>
      <c r="O82" s="58" t="b">
        <f t="shared" si="11"/>
        <v>0</v>
      </c>
      <c r="T82" s="85">
        <f>$U$32-$B$38/100</f>
        <v>0</v>
      </c>
      <c r="U82" s="28" t="e">
        <f>$X$32</f>
        <v>#DIV/0!</v>
      </c>
    </row>
    <row r="83" spans="5:21" ht="15" x14ac:dyDescent="0.2">
      <c r="E83" s="72">
        <v>-1</v>
      </c>
      <c r="F83" s="73" t="e">
        <f t="shared" si="6"/>
        <v>#DIV/0!</v>
      </c>
      <c r="G83" s="73" t="e">
        <f t="shared" si="7"/>
        <v>#DIV/0!</v>
      </c>
      <c r="H83" s="73" t="e">
        <f t="shared" si="8"/>
        <v>#DIV/0!</v>
      </c>
      <c r="I83" s="73" t="e">
        <f t="shared" si="5"/>
        <v>#DIV/0!</v>
      </c>
      <c r="J83" s="73" t="e">
        <f t="shared" si="9"/>
        <v>#DIV/0!</v>
      </c>
      <c r="K83" s="73" t="e">
        <f t="shared" si="10"/>
        <v>#DIV/0!</v>
      </c>
      <c r="L83" s="14"/>
      <c r="M83" s="56"/>
      <c r="N83" s="57"/>
      <c r="O83" s="58" t="b">
        <f t="shared" si="11"/>
        <v>0</v>
      </c>
      <c r="T83" s="85">
        <f>$U$32+$B$38/100</f>
        <v>0</v>
      </c>
      <c r="U83" s="28" t="e">
        <f>$X$33</f>
        <v>#DIV/0!</v>
      </c>
    </row>
    <row r="84" spans="5:21" ht="15" x14ac:dyDescent="0.2">
      <c r="E84" s="72">
        <v>-0.8</v>
      </c>
      <c r="F84" s="73" t="e">
        <f t="shared" si="6"/>
        <v>#DIV/0!</v>
      </c>
      <c r="G84" s="73" t="e">
        <f t="shared" si="7"/>
        <v>#DIV/0!</v>
      </c>
      <c r="H84" s="73" t="e">
        <f t="shared" si="8"/>
        <v>#DIV/0!</v>
      </c>
      <c r="I84" s="73" t="e">
        <f t="shared" si="5"/>
        <v>#DIV/0!</v>
      </c>
      <c r="J84" s="73" t="e">
        <f t="shared" si="9"/>
        <v>#DIV/0!</v>
      </c>
      <c r="K84" s="73" t="e">
        <f t="shared" si="10"/>
        <v>#DIV/0!</v>
      </c>
      <c r="M84" s="56"/>
      <c r="N84" s="57"/>
      <c r="O84" s="58" t="b">
        <f t="shared" si="11"/>
        <v>0</v>
      </c>
      <c r="T84" s="85">
        <f>$U$33-$B$38/100</f>
        <v>0</v>
      </c>
      <c r="U84" s="28" t="e">
        <f>$X$33</f>
        <v>#DIV/0!</v>
      </c>
    </row>
    <row r="85" spans="5:21" ht="15" x14ac:dyDescent="0.2">
      <c r="E85" s="72">
        <v>-0.6</v>
      </c>
      <c r="F85" s="73" t="e">
        <f t="shared" si="6"/>
        <v>#DIV/0!</v>
      </c>
      <c r="G85" s="73" t="e">
        <f t="shared" si="7"/>
        <v>#DIV/0!</v>
      </c>
      <c r="H85" s="73" t="e">
        <f t="shared" si="8"/>
        <v>#DIV/0!</v>
      </c>
      <c r="I85" s="73" t="e">
        <f t="shared" si="5"/>
        <v>#DIV/0!</v>
      </c>
      <c r="J85" s="73" t="e">
        <f t="shared" si="9"/>
        <v>#DIV/0!</v>
      </c>
      <c r="K85" s="73" t="e">
        <f t="shared" si="10"/>
        <v>#DIV/0!</v>
      </c>
      <c r="M85" s="56"/>
      <c r="N85" s="57"/>
      <c r="O85" s="58" t="b">
        <f t="shared" si="11"/>
        <v>0</v>
      </c>
      <c r="T85" s="85">
        <f>$U$33+$B$38/100</f>
        <v>0</v>
      </c>
      <c r="U85" s="28" t="e">
        <f>$X$34</f>
        <v>#DIV/0!</v>
      </c>
    </row>
    <row r="86" spans="5:21" ht="15" x14ac:dyDescent="0.2">
      <c r="E86" s="72">
        <v>-0.4</v>
      </c>
      <c r="F86" s="73" t="e">
        <f t="shared" si="6"/>
        <v>#DIV/0!</v>
      </c>
      <c r="G86" s="73" t="e">
        <f t="shared" si="7"/>
        <v>#DIV/0!</v>
      </c>
      <c r="H86" s="73" t="e">
        <f t="shared" si="8"/>
        <v>#DIV/0!</v>
      </c>
      <c r="I86" s="73" t="e">
        <f t="shared" si="5"/>
        <v>#DIV/0!</v>
      </c>
      <c r="J86" s="73" t="e">
        <f t="shared" si="9"/>
        <v>#DIV/0!</v>
      </c>
      <c r="K86" s="73" t="e">
        <f t="shared" si="10"/>
        <v>#DIV/0!</v>
      </c>
      <c r="M86" s="56"/>
      <c r="N86" s="57"/>
      <c r="O86" s="58" t="b">
        <f t="shared" si="11"/>
        <v>0</v>
      </c>
      <c r="T86" s="85">
        <f>$U$34-$B$38/100</f>
        <v>0</v>
      </c>
      <c r="U86" s="28" t="e">
        <f>$X$34</f>
        <v>#DIV/0!</v>
      </c>
    </row>
    <row r="87" spans="5:21" ht="15" x14ac:dyDescent="0.2">
      <c r="E87" s="72">
        <v>-0.2</v>
      </c>
      <c r="F87" s="73" t="e">
        <f t="shared" si="6"/>
        <v>#DIV/0!</v>
      </c>
      <c r="G87" s="73" t="e">
        <f t="shared" si="7"/>
        <v>#DIV/0!</v>
      </c>
      <c r="H87" s="73" t="e">
        <f t="shared" si="8"/>
        <v>#DIV/0!</v>
      </c>
      <c r="I87" s="73" t="e">
        <f t="shared" si="5"/>
        <v>#DIV/0!</v>
      </c>
      <c r="J87" s="73" t="e">
        <f t="shared" si="9"/>
        <v>#DIV/0!</v>
      </c>
      <c r="K87" s="73" t="e">
        <f t="shared" si="10"/>
        <v>#DIV/0!</v>
      </c>
      <c r="M87" s="56"/>
      <c r="N87" s="57"/>
      <c r="O87" s="58" t="b">
        <f t="shared" si="11"/>
        <v>0</v>
      </c>
      <c r="T87" s="85">
        <f>$U$34+$B$38/100</f>
        <v>0</v>
      </c>
      <c r="U87" s="28" t="e">
        <f>$X$35</f>
        <v>#DIV/0!</v>
      </c>
    </row>
    <row r="88" spans="5:21" ht="15" x14ac:dyDescent="0.2">
      <c r="E88" s="72">
        <v>0</v>
      </c>
      <c r="F88" s="73" t="e">
        <f t="shared" si="6"/>
        <v>#DIV/0!</v>
      </c>
      <c r="G88" s="73" t="e">
        <f t="shared" si="7"/>
        <v>#DIV/0!</v>
      </c>
      <c r="H88" s="73" t="e">
        <f t="shared" si="8"/>
        <v>#DIV/0!</v>
      </c>
      <c r="I88" s="73" t="e">
        <f t="shared" si="5"/>
        <v>#DIV/0!</v>
      </c>
      <c r="J88" s="73" t="e">
        <f t="shared" si="9"/>
        <v>#DIV/0!</v>
      </c>
      <c r="K88" s="73" t="e">
        <f t="shared" si="10"/>
        <v>#DIV/0!</v>
      </c>
      <c r="M88" s="56"/>
      <c r="N88" s="57"/>
      <c r="O88" s="58" t="b">
        <f t="shared" si="11"/>
        <v>0</v>
      </c>
      <c r="T88" s="85">
        <f>$U$35-$B$38/100</f>
        <v>0</v>
      </c>
      <c r="U88" s="28" t="e">
        <f>$X$35</f>
        <v>#DIV/0!</v>
      </c>
    </row>
    <row r="89" spans="5:21" ht="15" x14ac:dyDescent="0.2">
      <c r="E89" s="72">
        <v>0.2</v>
      </c>
      <c r="F89" s="73" t="e">
        <f t="shared" si="6"/>
        <v>#DIV/0!</v>
      </c>
      <c r="G89" s="73" t="e">
        <f t="shared" si="7"/>
        <v>#DIV/0!</v>
      </c>
      <c r="H89" s="73" t="e">
        <f t="shared" si="8"/>
        <v>#DIV/0!</v>
      </c>
      <c r="I89" s="73" t="e">
        <f t="shared" si="5"/>
        <v>#DIV/0!</v>
      </c>
      <c r="J89" s="73" t="e">
        <f t="shared" si="9"/>
        <v>#DIV/0!</v>
      </c>
      <c r="K89" s="73" t="e">
        <f t="shared" si="10"/>
        <v>#DIV/0!</v>
      </c>
      <c r="M89" s="56"/>
      <c r="N89" s="57"/>
      <c r="O89" s="58" t="b">
        <f t="shared" si="11"/>
        <v>0</v>
      </c>
      <c r="T89" s="85">
        <f>$U$35+$B$38/100</f>
        <v>0</v>
      </c>
      <c r="U89" s="28" t="e">
        <f>$X$36</f>
        <v>#DIV/0!</v>
      </c>
    </row>
    <row r="90" spans="5:21" ht="15" x14ac:dyDescent="0.2">
      <c r="E90" s="72">
        <v>0.4</v>
      </c>
      <c r="F90" s="73" t="e">
        <f t="shared" si="6"/>
        <v>#DIV/0!</v>
      </c>
      <c r="G90" s="73" t="e">
        <f t="shared" si="7"/>
        <v>#DIV/0!</v>
      </c>
      <c r="H90" s="73" t="e">
        <f t="shared" si="8"/>
        <v>#DIV/0!</v>
      </c>
      <c r="I90" s="73" t="e">
        <f t="shared" si="5"/>
        <v>#DIV/0!</v>
      </c>
      <c r="J90" s="73" t="e">
        <f t="shared" si="9"/>
        <v>#DIV/0!</v>
      </c>
      <c r="K90" s="73" t="e">
        <f t="shared" si="10"/>
        <v>#DIV/0!</v>
      </c>
      <c r="M90" s="56"/>
      <c r="N90" s="57"/>
      <c r="O90" s="58" t="b">
        <f t="shared" si="11"/>
        <v>0</v>
      </c>
      <c r="T90" s="85">
        <f>$U$36-$B$38/100</f>
        <v>0</v>
      </c>
      <c r="U90" s="28" t="e">
        <f>$X$36</f>
        <v>#DIV/0!</v>
      </c>
    </row>
    <row r="91" spans="5:21" ht="15" x14ac:dyDescent="0.2">
      <c r="E91" s="72">
        <v>0.6</v>
      </c>
      <c r="F91" s="73" t="e">
        <f t="shared" si="6"/>
        <v>#DIV/0!</v>
      </c>
      <c r="G91" s="73" t="e">
        <f t="shared" si="7"/>
        <v>#DIV/0!</v>
      </c>
      <c r="H91" s="73" t="e">
        <f t="shared" si="8"/>
        <v>#DIV/0!</v>
      </c>
      <c r="I91" s="73" t="e">
        <f t="shared" si="5"/>
        <v>#DIV/0!</v>
      </c>
      <c r="J91" s="73" t="e">
        <f t="shared" si="9"/>
        <v>#DIV/0!</v>
      </c>
      <c r="K91" s="73" t="e">
        <f t="shared" si="10"/>
        <v>#DIV/0!</v>
      </c>
      <c r="M91" s="56"/>
      <c r="N91" s="57"/>
      <c r="O91" s="58" t="b">
        <f t="shared" si="11"/>
        <v>0</v>
      </c>
      <c r="T91" s="85">
        <f>$U$36+$B$38/100</f>
        <v>0</v>
      </c>
      <c r="U91" s="28" t="e">
        <f>$X$37</f>
        <v>#DIV/0!</v>
      </c>
    </row>
    <row r="92" spans="5:21" ht="15" x14ac:dyDescent="0.2">
      <c r="E92" s="72">
        <v>0.80000000000001004</v>
      </c>
      <c r="F92" s="73" t="e">
        <f t="shared" si="6"/>
        <v>#DIV/0!</v>
      </c>
      <c r="G92" s="73" t="e">
        <f t="shared" si="7"/>
        <v>#DIV/0!</v>
      </c>
      <c r="H92" s="73" t="e">
        <f t="shared" si="8"/>
        <v>#DIV/0!</v>
      </c>
      <c r="I92" s="73" t="e">
        <f t="shared" si="5"/>
        <v>#DIV/0!</v>
      </c>
      <c r="J92" s="73" t="e">
        <f t="shared" si="9"/>
        <v>#DIV/0!</v>
      </c>
      <c r="K92" s="73" t="e">
        <f t="shared" si="10"/>
        <v>#DIV/0!</v>
      </c>
      <c r="M92" s="56"/>
      <c r="N92" s="57"/>
      <c r="O92" s="58" t="b">
        <f t="shared" si="11"/>
        <v>0</v>
      </c>
      <c r="T92" s="85">
        <f>$U$37-$B$38/100</f>
        <v>0</v>
      </c>
      <c r="U92" s="28" t="e">
        <f>$X$37</f>
        <v>#DIV/0!</v>
      </c>
    </row>
    <row r="93" spans="5:21" ht="15" x14ac:dyDescent="0.2">
      <c r="E93" s="72">
        <v>1.00000000000001</v>
      </c>
      <c r="F93" s="73" t="e">
        <f t="shared" si="6"/>
        <v>#DIV/0!</v>
      </c>
      <c r="G93" s="73" t="e">
        <f t="shared" si="7"/>
        <v>#DIV/0!</v>
      </c>
      <c r="H93" s="73" t="e">
        <f t="shared" si="8"/>
        <v>#DIV/0!</v>
      </c>
      <c r="I93" s="73" t="e">
        <f t="shared" si="5"/>
        <v>#DIV/0!</v>
      </c>
      <c r="J93" s="73" t="e">
        <f t="shared" si="9"/>
        <v>#DIV/0!</v>
      </c>
      <c r="K93" s="73" t="e">
        <f t="shared" si="10"/>
        <v>#DIV/0!</v>
      </c>
      <c r="M93" s="56"/>
      <c r="N93" s="57"/>
      <c r="O93" s="58" t="b">
        <f t="shared" si="11"/>
        <v>0</v>
      </c>
      <c r="T93" s="85">
        <f>$U$37+$B$38/100</f>
        <v>0</v>
      </c>
      <c r="U93" s="28" t="e">
        <f>$X$38</f>
        <v>#DIV/0!</v>
      </c>
    </row>
    <row r="94" spans="5:21" ht="15" x14ac:dyDescent="0.2">
      <c r="E94" s="72">
        <v>1.2000000000000099</v>
      </c>
      <c r="F94" s="73" t="e">
        <f t="shared" si="6"/>
        <v>#DIV/0!</v>
      </c>
      <c r="G94" s="73" t="e">
        <f t="shared" si="7"/>
        <v>#DIV/0!</v>
      </c>
      <c r="H94" s="73" t="e">
        <f t="shared" si="8"/>
        <v>#DIV/0!</v>
      </c>
      <c r="I94" s="73" t="e">
        <f t="shared" si="5"/>
        <v>#DIV/0!</v>
      </c>
      <c r="J94" s="73" t="e">
        <f t="shared" si="9"/>
        <v>#DIV/0!</v>
      </c>
      <c r="K94" s="73" t="e">
        <f t="shared" si="10"/>
        <v>#DIV/0!</v>
      </c>
      <c r="M94" s="56"/>
      <c r="N94" s="57"/>
      <c r="O94" s="58" t="b">
        <f t="shared" si="11"/>
        <v>0</v>
      </c>
      <c r="T94" s="85">
        <f>$U$38-$B$38/100</f>
        <v>0</v>
      </c>
      <c r="U94" s="28" t="e">
        <f>$X$38</f>
        <v>#DIV/0!</v>
      </c>
    </row>
    <row r="95" spans="5:21" ht="15" x14ac:dyDescent="0.2">
      <c r="E95" s="72">
        <v>1.4000000000000099</v>
      </c>
      <c r="F95" s="73" t="e">
        <f t="shared" si="6"/>
        <v>#DIV/0!</v>
      </c>
      <c r="G95" s="73" t="e">
        <f t="shared" si="7"/>
        <v>#DIV/0!</v>
      </c>
      <c r="H95" s="73" t="e">
        <f t="shared" si="8"/>
        <v>#DIV/0!</v>
      </c>
      <c r="I95" s="73" t="e">
        <f t="shared" si="5"/>
        <v>#DIV/0!</v>
      </c>
      <c r="J95" s="73" t="e">
        <f t="shared" si="9"/>
        <v>#DIV/0!</v>
      </c>
      <c r="K95" s="73" t="e">
        <f t="shared" si="10"/>
        <v>#DIV/0!</v>
      </c>
      <c r="M95" s="56"/>
      <c r="N95" s="57"/>
      <c r="O95" s="58" t="b">
        <f t="shared" si="11"/>
        <v>0</v>
      </c>
      <c r="T95" s="85">
        <f>$U$38+$B$38/100</f>
        <v>0</v>
      </c>
      <c r="U95" s="28" t="e">
        <f>$X$39</f>
        <v>#DIV/0!</v>
      </c>
    </row>
    <row r="96" spans="5:21" ht="15" x14ac:dyDescent="0.2">
      <c r="E96" s="72">
        <v>1.6000000000000101</v>
      </c>
      <c r="F96" s="73" t="e">
        <f t="shared" si="6"/>
        <v>#DIV/0!</v>
      </c>
      <c r="G96" s="73" t="e">
        <f t="shared" si="7"/>
        <v>#DIV/0!</v>
      </c>
      <c r="H96" s="73" t="e">
        <f t="shared" si="8"/>
        <v>#DIV/0!</v>
      </c>
      <c r="I96" s="73" t="e">
        <f t="shared" si="5"/>
        <v>#DIV/0!</v>
      </c>
      <c r="J96" s="73" t="e">
        <f t="shared" si="9"/>
        <v>#DIV/0!</v>
      </c>
      <c r="K96" s="73" t="e">
        <f t="shared" si="10"/>
        <v>#DIV/0!</v>
      </c>
      <c r="M96" s="56"/>
      <c r="N96" s="57"/>
      <c r="O96" s="58" t="b">
        <f t="shared" si="11"/>
        <v>0</v>
      </c>
      <c r="T96" s="85">
        <f>$U$39-$B$38/100</f>
        <v>0</v>
      </c>
      <c r="U96" s="28" t="e">
        <f>$X$39</f>
        <v>#DIV/0!</v>
      </c>
    </row>
    <row r="97" spans="5:21" ht="15" x14ac:dyDescent="0.2">
      <c r="E97" s="72">
        <v>1.80000000000001</v>
      </c>
      <c r="F97" s="73" t="e">
        <f t="shared" si="6"/>
        <v>#DIV/0!</v>
      </c>
      <c r="G97" s="73" t="e">
        <f t="shared" si="7"/>
        <v>#DIV/0!</v>
      </c>
      <c r="H97" s="73" t="e">
        <f t="shared" si="8"/>
        <v>#DIV/0!</v>
      </c>
      <c r="I97" s="73" t="e">
        <f t="shared" si="5"/>
        <v>#DIV/0!</v>
      </c>
      <c r="J97" s="73" t="e">
        <f t="shared" si="9"/>
        <v>#DIV/0!</v>
      </c>
      <c r="K97" s="73" t="e">
        <f t="shared" si="10"/>
        <v>#DIV/0!</v>
      </c>
      <c r="M97" s="56"/>
      <c r="N97" s="57"/>
      <c r="O97" s="58" t="b">
        <f t="shared" si="11"/>
        <v>0</v>
      </c>
      <c r="T97" s="85">
        <f>$U$39+$B$38/100</f>
        <v>0</v>
      </c>
      <c r="U97" s="28" t="e">
        <f>$X$40</f>
        <v>#DIV/0!</v>
      </c>
    </row>
    <row r="98" spans="5:21" ht="15" x14ac:dyDescent="0.2">
      <c r="E98" s="72">
        <v>2.0000000000000102</v>
      </c>
      <c r="F98" s="73" t="e">
        <f t="shared" si="6"/>
        <v>#DIV/0!</v>
      </c>
      <c r="G98" s="73" t="e">
        <f t="shared" si="7"/>
        <v>#DIV/0!</v>
      </c>
      <c r="H98" s="73" t="e">
        <f t="shared" si="8"/>
        <v>#DIV/0!</v>
      </c>
      <c r="I98" s="73" t="e">
        <f t="shared" si="5"/>
        <v>#DIV/0!</v>
      </c>
      <c r="J98" s="73" t="e">
        <f t="shared" si="9"/>
        <v>#DIV/0!</v>
      </c>
      <c r="K98" s="73" t="e">
        <f t="shared" si="10"/>
        <v>#DIV/0!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 t="e">
        <f t="shared" si="6"/>
        <v>#DIV/0!</v>
      </c>
      <c r="G99" s="73" t="e">
        <f t="shared" si="7"/>
        <v>#DIV/0!</v>
      </c>
      <c r="H99" s="73" t="e">
        <f t="shared" si="8"/>
        <v>#DIV/0!</v>
      </c>
      <c r="I99" s="73" t="e">
        <f t="shared" si="5"/>
        <v>#DIV/0!</v>
      </c>
      <c r="J99" s="73" t="e">
        <f t="shared" si="9"/>
        <v>#DIV/0!</v>
      </c>
      <c r="K99" s="73" t="e">
        <f t="shared" si="10"/>
        <v>#DIV/0!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 t="e">
        <f t="shared" si="6"/>
        <v>#DIV/0!</v>
      </c>
      <c r="G100" s="73" t="e">
        <f t="shared" si="7"/>
        <v>#DIV/0!</v>
      </c>
      <c r="H100" s="73" t="e">
        <f t="shared" si="8"/>
        <v>#DIV/0!</v>
      </c>
      <c r="I100" s="73" t="e">
        <f t="shared" si="5"/>
        <v>#DIV/0!</v>
      </c>
      <c r="J100" s="73" t="e">
        <f t="shared" si="9"/>
        <v>#DIV/0!</v>
      </c>
      <c r="K100" s="73" t="e">
        <f t="shared" si="10"/>
        <v>#DIV/0!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 t="e">
        <f t="shared" si="6"/>
        <v>#DIV/0!</v>
      </c>
      <c r="G101" s="73" t="e">
        <f t="shared" si="7"/>
        <v>#DIV/0!</v>
      </c>
      <c r="H101" s="73" t="e">
        <f t="shared" si="8"/>
        <v>#DIV/0!</v>
      </c>
      <c r="I101" s="73" t="e">
        <f t="shared" si="5"/>
        <v>#DIV/0!</v>
      </c>
      <c r="J101" s="73" t="e">
        <f t="shared" si="9"/>
        <v>#DIV/0!</v>
      </c>
      <c r="K101" s="73" t="e">
        <f t="shared" si="10"/>
        <v>#DIV/0!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 t="e">
        <f t="shared" si="6"/>
        <v>#DIV/0!</v>
      </c>
      <c r="G102" s="73" t="e">
        <f t="shared" si="7"/>
        <v>#DIV/0!</v>
      </c>
      <c r="H102" s="73" t="e">
        <f t="shared" si="8"/>
        <v>#DIV/0!</v>
      </c>
      <c r="I102" s="73" t="e">
        <f t="shared" si="5"/>
        <v>#DIV/0!</v>
      </c>
      <c r="J102" s="73" t="e">
        <f t="shared" si="9"/>
        <v>#DIV/0!</v>
      </c>
      <c r="K102" s="73" t="e">
        <f t="shared" si="10"/>
        <v>#DIV/0!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 t="e">
        <f t="shared" si="6"/>
        <v>#DIV/0!</v>
      </c>
      <c r="G103" s="73" t="e">
        <f t="shared" si="7"/>
        <v>#DIV/0!</v>
      </c>
      <c r="H103" s="73" t="e">
        <f t="shared" si="8"/>
        <v>#DIV/0!</v>
      </c>
      <c r="I103" s="73" t="e">
        <f t="shared" si="5"/>
        <v>#DIV/0!</v>
      </c>
      <c r="J103" s="73" t="e">
        <f t="shared" si="9"/>
        <v>#DIV/0!</v>
      </c>
      <c r="K103" s="73" t="e">
        <f t="shared" si="10"/>
        <v>#DIV/0!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 t="e">
        <f t="shared" si="6"/>
        <v>#DIV/0!</v>
      </c>
      <c r="G104" s="73" t="e">
        <f t="shared" si="7"/>
        <v>#DIV/0!</v>
      </c>
      <c r="H104" s="73" t="e">
        <f t="shared" si="8"/>
        <v>#DIV/0!</v>
      </c>
      <c r="I104" s="73" t="e">
        <f t="shared" si="5"/>
        <v>#DIV/0!</v>
      </c>
      <c r="J104" s="73" t="e">
        <f t="shared" si="9"/>
        <v>#DIV/0!</v>
      </c>
      <c r="K104" s="73" t="e">
        <f t="shared" si="10"/>
        <v>#DIV/0!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 t="e">
        <f t="shared" si="6"/>
        <v>#DIV/0!</v>
      </c>
      <c r="G105" s="73" t="e">
        <f t="shared" si="7"/>
        <v>#DIV/0!</v>
      </c>
      <c r="H105" s="73" t="e">
        <f t="shared" si="8"/>
        <v>#DIV/0!</v>
      </c>
      <c r="I105" s="73" t="e">
        <f t="shared" si="5"/>
        <v>#DIV/0!</v>
      </c>
      <c r="J105" s="73" t="e">
        <f t="shared" si="9"/>
        <v>#DIV/0!</v>
      </c>
      <c r="K105" s="73" t="e">
        <f t="shared" si="10"/>
        <v>#DIV/0!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 t="e">
        <f t="shared" si="6"/>
        <v>#DIV/0!</v>
      </c>
      <c r="G106" s="73" t="e">
        <f t="shared" si="7"/>
        <v>#DIV/0!</v>
      </c>
      <c r="H106" s="73" t="e">
        <f t="shared" si="8"/>
        <v>#DIV/0!</v>
      </c>
      <c r="I106" s="73" t="e">
        <f t="shared" si="5"/>
        <v>#DIV/0!</v>
      </c>
      <c r="J106" s="73" t="e">
        <f t="shared" si="9"/>
        <v>#DIV/0!</v>
      </c>
      <c r="K106" s="73" t="e">
        <f t="shared" si="10"/>
        <v>#DIV/0!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 t="e">
        <f t="shared" si="6"/>
        <v>#DIV/0!</v>
      </c>
      <c r="G107" s="73" t="e">
        <f t="shared" si="7"/>
        <v>#DIV/0!</v>
      </c>
      <c r="H107" s="73" t="e">
        <f t="shared" si="8"/>
        <v>#DIV/0!</v>
      </c>
      <c r="I107" s="73" t="e">
        <f t="shared" si="5"/>
        <v>#DIV/0!</v>
      </c>
      <c r="J107" s="73" t="e">
        <f t="shared" si="9"/>
        <v>#DIV/0!</v>
      </c>
      <c r="K107" s="73" t="e">
        <f t="shared" si="10"/>
        <v>#DIV/0!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 t="e">
        <f t="shared" si="6"/>
        <v>#DIV/0!</v>
      </c>
      <c r="G108" s="73" t="e">
        <f t="shared" si="7"/>
        <v>#DIV/0!</v>
      </c>
      <c r="H108" s="73" t="e">
        <f t="shared" si="8"/>
        <v>#DIV/0!</v>
      </c>
      <c r="I108" s="73" t="e">
        <f t="shared" si="5"/>
        <v>#DIV/0!</v>
      </c>
      <c r="J108" s="73" t="e">
        <f t="shared" si="9"/>
        <v>#DIV/0!</v>
      </c>
      <c r="K108" s="73" t="e">
        <f t="shared" si="10"/>
        <v>#DIV/0!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 t="e">
        <f t="shared" si="6"/>
        <v>#DIV/0!</v>
      </c>
      <c r="G109" s="73" t="e">
        <f t="shared" si="7"/>
        <v>#DIV/0!</v>
      </c>
      <c r="H109" s="73" t="e">
        <f t="shared" si="8"/>
        <v>#DIV/0!</v>
      </c>
      <c r="I109" s="73" t="e">
        <f t="shared" si="5"/>
        <v>#DIV/0!</v>
      </c>
      <c r="J109" s="73" t="e">
        <f t="shared" si="9"/>
        <v>#DIV/0!</v>
      </c>
      <c r="K109" s="73" t="e">
        <f t="shared" si="10"/>
        <v>#DIV/0!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 t="e">
        <f t="shared" si="6"/>
        <v>#DIV/0!</v>
      </c>
      <c r="G110" s="73" t="e">
        <f t="shared" si="7"/>
        <v>#DIV/0!</v>
      </c>
      <c r="H110" s="73" t="e">
        <f t="shared" si="8"/>
        <v>#DIV/0!</v>
      </c>
      <c r="I110" s="73" t="e">
        <f t="shared" si="5"/>
        <v>#DIV/0!</v>
      </c>
      <c r="J110" s="73" t="e">
        <f t="shared" si="9"/>
        <v>#DIV/0!</v>
      </c>
      <c r="K110" s="73" t="e">
        <f t="shared" si="10"/>
        <v>#DIV/0!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 t="e">
        <f t="shared" si="6"/>
        <v>#DIV/0!</v>
      </c>
      <c r="G111" s="73" t="e">
        <f t="shared" si="7"/>
        <v>#DIV/0!</v>
      </c>
      <c r="H111" s="73" t="e">
        <f t="shared" si="8"/>
        <v>#DIV/0!</v>
      </c>
      <c r="I111" s="73" t="e">
        <f t="shared" si="5"/>
        <v>#DIV/0!</v>
      </c>
      <c r="J111" s="73" t="e">
        <f t="shared" si="9"/>
        <v>#DIV/0!</v>
      </c>
      <c r="K111" s="73" t="e">
        <f t="shared" si="10"/>
        <v>#DIV/0!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 t="e">
        <f t="shared" si="6"/>
        <v>#DIV/0!</v>
      </c>
      <c r="G112" s="73" t="e">
        <f t="shared" si="7"/>
        <v>#DIV/0!</v>
      </c>
      <c r="H112" s="73" t="e">
        <f t="shared" si="8"/>
        <v>#DIV/0!</v>
      </c>
      <c r="I112" s="73" t="e">
        <f t="shared" si="5"/>
        <v>#DIV/0!</v>
      </c>
      <c r="J112" s="73" t="e">
        <f t="shared" si="9"/>
        <v>#DIV/0!</v>
      </c>
      <c r="K112" s="73" t="e">
        <f t="shared" si="10"/>
        <v>#DIV/0!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 t="e">
        <f t="shared" si="6"/>
        <v>#DIV/0!</v>
      </c>
      <c r="G113" s="73" t="e">
        <f t="shared" si="7"/>
        <v>#DIV/0!</v>
      </c>
      <c r="H113" s="73" t="e">
        <f t="shared" si="8"/>
        <v>#DIV/0!</v>
      </c>
      <c r="I113" s="73" t="e">
        <f t="shared" si="5"/>
        <v>#DIV/0!</v>
      </c>
      <c r="J113" s="73" t="e">
        <f t="shared" si="9"/>
        <v>#DIV/0!</v>
      </c>
      <c r="K113" s="73" t="e">
        <f t="shared" si="10"/>
        <v>#DIV/0!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 t="e">
        <f>CORREL($N$3:$N$252,$M$3:$M$252)</f>
        <v>#DIV/0!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 t="e">
        <f>INTERCEPT($N$3:$N$252,$M$3:$M$252)</f>
        <v>#DIV/0!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 t="e">
        <f>SLOPE($N$3:$N$252,$M$3:$M$252)</f>
        <v>#DIV/0!</v>
      </c>
      <c r="H120" s="69" t="s">
        <v>50</v>
      </c>
      <c r="I120" s="79" t="b">
        <f>IF($B$9&gt;3,INDEX(XX!$C$4:$C$150,$B$9))</f>
        <v>0</v>
      </c>
      <c r="J120" s="79" t="b">
        <f>IF($B$9&gt;3,INDEX(XX!$D$4:$D$150,$B$9))</f>
        <v>0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 t="e">
        <f>IF((ABS($G$118)&gt;$I$120)*AND(ABS($G$118)&lt;$J$120),G$119+G$120*G122,0)</f>
        <v>#DIV/0!</v>
      </c>
      <c r="J122" s="79" t="e">
        <f>IF((ABS($G$118)&gt;$J$120),G$119+G$120*G122,0)</f>
        <v>#DIV/0!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0</v>
      </c>
      <c r="H123" s="11"/>
      <c r="I123" s="79" t="e">
        <f>IF((ABS($G$118)&gt;$I$120)*AND(ABS($G$118)&lt;$J$120),G$119+G$120*G123,0)</f>
        <v>#DIV/0!</v>
      </c>
      <c r="J123" s="79" t="e">
        <f>IF((ABS($G$118)&gt;$J$120),G$119+G$120*G123,0)</f>
        <v>#DIV/0!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45" sqref="M45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61" t="s">
        <v>146</v>
      </c>
      <c r="B1" s="162"/>
      <c r="C1" s="162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63"/>
      <c r="B2" s="162"/>
      <c r="C2" s="162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/>
      <c r="N3" s="57"/>
      <c r="O3" s="58" t="b">
        <f t="shared" ref="O3:O66" si="0">IF($N3&gt;0,LN($N3+$B$26))</f>
        <v>0</v>
      </c>
      <c r="T3" s="69" t="s">
        <v>109</v>
      </c>
      <c r="U3" s="82" t="e">
        <f>$B$21</f>
        <v>#DIV/0!</v>
      </c>
      <c r="V3" s="82" t="e">
        <f t="shared" ref="V3:V10" si="1">U3</f>
        <v>#DIV/0!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/>
      <c r="N4" s="57"/>
      <c r="O4" s="58" t="b">
        <f t="shared" si="0"/>
        <v>0</v>
      </c>
      <c r="T4" s="69" t="s">
        <v>111</v>
      </c>
      <c r="U4" s="82" t="e">
        <f>$B$31</f>
        <v>#DIV/0!</v>
      </c>
      <c r="V4" s="82" t="e">
        <f t="shared" si="1"/>
        <v>#DIV/0!</v>
      </c>
    </row>
    <row r="5" spans="1:24" ht="15" customHeight="1" x14ac:dyDescent="0.2">
      <c r="A5" s="97" t="s">
        <v>70</v>
      </c>
      <c r="B5" s="133" t="s">
        <v>71</v>
      </c>
      <c r="C5" s="18"/>
      <c r="D5" s="4"/>
      <c r="M5" s="56"/>
      <c r="N5" s="57"/>
      <c r="O5" s="58" t="b">
        <f t="shared" si="0"/>
        <v>0</v>
      </c>
      <c r="T5" s="69" t="s">
        <v>110</v>
      </c>
      <c r="U5" s="82" t="e">
        <f>$B$22</f>
        <v>#DIV/0!</v>
      </c>
      <c r="V5" s="82" t="e">
        <f t="shared" si="1"/>
        <v>#DIV/0!</v>
      </c>
    </row>
    <row r="6" spans="1:24" ht="15" customHeight="1" x14ac:dyDescent="0.2">
      <c r="A6" s="107" t="s">
        <v>18</v>
      </c>
      <c r="B6" s="133">
        <v>0</v>
      </c>
      <c r="C6" s="18"/>
      <c r="M6" s="56"/>
      <c r="N6" s="57"/>
      <c r="O6" s="58" t="b">
        <f t="shared" si="0"/>
        <v>0</v>
      </c>
      <c r="T6" s="69" t="s">
        <v>29</v>
      </c>
      <c r="U6" s="82" t="e">
        <f>$B$32</f>
        <v>#DIV/0!</v>
      </c>
      <c r="V6" s="82" t="e">
        <f t="shared" si="1"/>
        <v>#DIV/0!</v>
      </c>
    </row>
    <row r="7" spans="1:24" ht="15" customHeight="1" x14ac:dyDescent="0.2">
      <c r="D7" s="4"/>
      <c r="F7" s="5"/>
      <c r="M7" s="56"/>
      <c r="N7" s="57"/>
      <c r="O7" s="58" t="b">
        <f t="shared" si="0"/>
        <v>0</v>
      </c>
      <c r="T7" s="69" t="s">
        <v>31</v>
      </c>
      <c r="U7" s="82" t="e">
        <f>$C$21</f>
        <v>#DIV/0!</v>
      </c>
      <c r="V7" s="82" t="e">
        <f t="shared" si="1"/>
        <v>#DIV/0!</v>
      </c>
    </row>
    <row r="8" spans="1:24" ht="15" customHeight="1" x14ac:dyDescent="0.25">
      <c r="A8" s="140" t="s">
        <v>12</v>
      </c>
      <c r="B8" s="140"/>
      <c r="C8" s="140"/>
      <c r="D8" s="4"/>
      <c r="M8" s="56"/>
      <c r="N8" s="57"/>
      <c r="O8" s="58" t="b">
        <f t="shared" si="0"/>
        <v>0</v>
      </c>
      <c r="T8" s="69" t="s">
        <v>32</v>
      </c>
      <c r="U8" s="82" t="e">
        <f>$C$31</f>
        <v>#DIV/0!</v>
      </c>
      <c r="V8" s="82" t="e">
        <f t="shared" si="1"/>
        <v>#DIV/0!</v>
      </c>
    </row>
    <row r="9" spans="1:24" ht="15" customHeight="1" x14ac:dyDescent="0.2">
      <c r="A9" s="101" t="s">
        <v>11</v>
      </c>
      <c r="B9" s="59">
        <f>COUNT($M$3:$M252)</f>
        <v>0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 t="e">
        <f>$C$22</f>
        <v>#DIV/0!</v>
      </c>
      <c r="V9" s="82" t="e">
        <f t="shared" si="1"/>
        <v>#DIV/0!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 t="e">
        <f>$C$32</f>
        <v>#DIV/0!</v>
      </c>
      <c r="V10" s="82" t="e">
        <f t="shared" si="1"/>
        <v>#DIV/0!</v>
      </c>
    </row>
    <row r="11" spans="1:24" ht="15" customHeight="1" x14ac:dyDescent="0.2">
      <c r="A11" s="102" t="s">
        <v>8</v>
      </c>
      <c r="B11" s="61">
        <f>MAX($N$3:$N$252)</f>
        <v>0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 t="e">
        <f>$B$12</f>
        <v>#NUM!</v>
      </c>
      <c r="V11" s="82" t="e">
        <f>U11</f>
        <v>#NUM!</v>
      </c>
    </row>
    <row r="12" spans="1:24" ht="15" customHeight="1" x14ac:dyDescent="0.2">
      <c r="A12" s="102" t="s">
        <v>68</v>
      </c>
      <c r="B12" s="62" t="e">
        <f>MEDIAN($N$3:$N$252)</f>
        <v>#NUM!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e">
        <f>IF(ABS($G$118)&gt;$J$120,"&gt; 99%",IF(ABS($G$118)&gt;$I$120,"&gt; 95%","nicht signifikant"))</f>
        <v>#DIV/0!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0</v>
      </c>
      <c r="V14" s="78"/>
      <c r="W14" s="79">
        <v>0</v>
      </c>
      <c r="X14" s="80" t="e">
        <f t="shared" ref="X14:X40" si="2">V14/$B$38/$B$9</f>
        <v>#DIV/0!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0</v>
      </c>
      <c r="V15" s="84">
        <f>FREQUENCY($N$3:$N$252,$U$15:$U$39)</f>
        <v>0</v>
      </c>
      <c r="W15" s="79">
        <f t="shared" ref="W15:W39" si="4">(U15+U14)/2</f>
        <v>0</v>
      </c>
      <c r="X15" s="80" t="e">
        <f t="shared" si="2"/>
        <v>#DIV/0!</v>
      </c>
    </row>
    <row r="16" spans="1:24" ht="15" customHeight="1" x14ac:dyDescent="0.2">
      <c r="A16" s="101" t="s">
        <v>73</v>
      </c>
      <c r="B16" s="63" t="e">
        <f>AVERAGE($N$3:$N$252)</f>
        <v>#DIV/0!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0</v>
      </c>
      <c r="V16" s="84">
        <f t="array" ref="V16:V40">FREQUENCY($N$3:$N$252,$U$15:$U$39)</f>
        <v>0</v>
      </c>
      <c r="W16" s="79">
        <f t="shared" si="4"/>
        <v>0</v>
      </c>
      <c r="X16" s="80" t="e">
        <f t="shared" si="2"/>
        <v>#DIV/0!</v>
      </c>
    </row>
    <row r="17" spans="1:24" ht="15" customHeight="1" x14ac:dyDescent="0.2">
      <c r="A17" s="102" t="s">
        <v>75</v>
      </c>
      <c r="B17" s="62" t="e">
        <f>STDEV($N$3:$N$252)</f>
        <v>#DIV/0!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0</v>
      </c>
      <c r="V17" s="84">
        <v>0</v>
      </c>
      <c r="W17" s="79">
        <f t="shared" si="4"/>
        <v>0</v>
      </c>
      <c r="X17" s="80" t="e">
        <f t="shared" si="2"/>
        <v>#DIV/0!</v>
      </c>
    </row>
    <row r="18" spans="1:24" ht="15" customHeight="1" x14ac:dyDescent="0.2">
      <c r="A18" s="102" t="s">
        <v>92</v>
      </c>
      <c r="B18" s="24" t="e">
        <f>((NORMINV(0.83,B16,B17)-B12)-(B12-NORMINV(0.17,B16,B17)))/(NORMINV(0.83,B16,B17)-NORMINV(0.17,B16,B17))</f>
        <v>#DIV/0!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0</v>
      </c>
      <c r="V18" s="84">
        <v>0</v>
      </c>
      <c r="W18" s="79">
        <f t="shared" si="4"/>
        <v>0</v>
      </c>
      <c r="X18" s="80" t="e">
        <f t="shared" si="2"/>
        <v>#DIV/0!</v>
      </c>
    </row>
    <row r="19" spans="1:24" ht="15" customHeight="1" x14ac:dyDescent="0.25">
      <c r="A19" s="102" t="s">
        <v>25</v>
      </c>
      <c r="B19" s="20" t="e">
        <f>IF(ABS(($B$16-$B$12)/$B$16)&lt;=0.1,"gut",IF(ABS(($B$16-$B$12)/$B$16)&lt;=0.2,"mäßig","schlecht"))</f>
        <v>#DIV/0!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</v>
      </c>
      <c r="V19" s="84">
        <v>0</v>
      </c>
      <c r="W19" s="79">
        <f t="shared" si="4"/>
        <v>0</v>
      </c>
      <c r="X19" s="80" t="e">
        <f t="shared" si="2"/>
        <v>#DIV/0!</v>
      </c>
    </row>
    <row r="20" spans="1:24" ht="15" customHeight="1" x14ac:dyDescent="0.2">
      <c r="A20" s="102" t="s">
        <v>44</v>
      </c>
      <c r="B20" s="20" t="e">
        <f>IF(((B11-B10)/B17)&gt;INDEX(XX!$B$4:'XX'!$B$150,$B$9-3),"ja","nein")</f>
        <v>#DIV/0!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</v>
      </c>
      <c r="V20" s="84">
        <v>0</v>
      </c>
      <c r="W20" s="79">
        <f t="shared" si="4"/>
        <v>0</v>
      </c>
      <c r="X20" s="80" t="e">
        <f t="shared" si="2"/>
        <v>#DIV/0!</v>
      </c>
    </row>
    <row r="21" spans="1:24" ht="15" customHeight="1" x14ac:dyDescent="0.2">
      <c r="A21" s="103" t="s">
        <v>76</v>
      </c>
      <c r="B21" s="62" t="e">
        <f>NORMINV(0.975,$B$16,$B$17)</f>
        <v>#DIV/0!</v>
      </c>
      <c r="C21" s="62" t="e">
        <f>NORMINV(0.025,$B$16,$B$17)</f>
        <v>#DIV/0!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</v>
      </c>
      <c r="V21" s="84">
        <v>0</v>
      </c>
      <c r="W21" s="79">
        <f t="shared" si="4"/>
        <v>0</v>
      </c>
      <c r="X21" s="80" t="e">
        <f t="shared" si="2"/>
        <v>#DIV/0!</v>
      </c>
    </row>
    <row r="22" spans="1:24" ht="15" customHeight="1" x14ac:dyDescent="0.2">
      <c r="A22" s="104" t="s">
        <v>77</v>
      </c>
      <c r="B22" s="62" t="e">
        <f>NORMINV(0.99,$B$16,$B$17)</f>
        <v>#DIV/0!</v>
      </c>
      <c r="C22" s="62" t="e">
        <f>NORMINV(0.01,B16,B17)</f>
        <v>#DIV/0!</v>
      </c>
      <c r="M22" s="56"/>
      <c r="N22" s="57"/>
      <c r="O22" s="58" t="b">
        <f t="shared" si="0"/>
        <v>0</v>
      </c>
      <c r="T22" s="69">
        <v>8</v>
      </c>
      <c r="U22" s="77">
        <f t="shared" si="3"/>
        <v>0</v>
      </c>
      <c r="V22" s="84">
        <v>0</v>
      </c>
      <c r="W22" s="79">
        <f t="shared" si="4"/>
        <v>0</v>
      </c>
      <c r="X22" s="80" t="e">
        <f t="shared" si="2"/>
        <v>#DIV/0!</v>
      </c>
    </row>
    <row r="23" spans="1:24" ht="15" customHeight="1" x14ac:dyDescent="0.25">
      <c r="A23" s="112" t="s">
        <v>81</v>
      </c>
      <c r="B23" s="96" t="e">
        <f>MAX($B$22+0.5*$B$6,$B$6)</f>
        <v>#DIV/0!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</v>
      </c>
      <c r="V23" s="84">
        <v>0</v>
      </c>
      <c r="W23" s="79">
        <f t="shared" si="4"/>
        <v>0</v>
      </c>
      <c r="X23" s="80" t="e">
        <f t="shared" si="2"/>
        <v>#DIV/0!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</v>
      </c>
      <c r="V24" s="84">
        <v>0</v>
      </c>
      <c r="W24" s="79">
        <f t="shared" si="4"/>
        <v>0</v>
      </c>
      <c r="X24" s="80" t="e">
        <f t="shared" si="2"/>
        <v>#DIV/0!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 t="e">
        <f>MEDIAN($O$3:$O$252)</f>
        <v>#NUM!</v>
      </c>
      <c r="T25" s="69">
        <v>11</v>
      </c>
      <c r="U25" s="77">
        <f t="shared" si="3"/>
        <v>0</v>
      </c>
      <c r="V25" s="84">
        <v>0</v>
      </c>
      <c r="W25" s="79">
        <f t="shared" si="4"/>
        <v>0</v>
      </c>
      <c r="X25" s="80" t="e">
        <f t="shared" si="2"/>
        <v>#DIV/0!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 t="e">
        <f>AVERAGE($O$3:$O$252)</f>
        <v>#DIV/0!</v>
      </c>
      <c r="T26" s="69">
        <v>12</v>
      </c>
      <c r="U26" s="77">
        <f t="shared" si="3"/>
        <v>0</v>
      </c>
      <c r="V26" s="84">
        <v>0</v>
      </c>
      <c r="W26" s="79">
        <f t="shared" si="4"/>
        <v>0</v>
      </c>
      <c r="X26" s="80" t="e">
        <f t="shared" si="2"/>
        <v>#DIV/0!</v>
      </c>
    </row>
    <row r="27" spans="1:24" ht="15" customHeight="1" x14ac:dyDescent="0.2">
      <c r="A27" s="65" t="s">
        <v>17</v>
      </c>
      <c r="B27" s="62" t="e">
        <f>EXP($R$26)</f>
        <v>#DIV/0!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 t="e">
        <f>STDEV($O$3:$O$252)</f>
        <v>#DIV/0!</v>
      </c>
      <c r="T27" s="69">
        <v>13</v>
      </c>
      <c r="U27" s="77">
        <f t="shared" si="3"/>
        <v>0</v>
      </c>
      <c r="V27" s="84">
        <v>0</v>
      </c>
      <c r="W27" s="79">
        <f t="shared" si="4"/>
        <v>0</v>
      </c>
      <c r="X27" s="80" t="e">
        <f t="shared" si="2"/>
        <v>#DIV/0!</v>
      </c>
    </row>
    <row r="28" spans="1:24" ht="15" customHeight="1" x14ac:dyDescent="0.2">
      <c r="A28" s="65" t="s">
        <v>92</v>
      </c>
      <c r="B28" s="24" t="e">
        <f>((NORMINV(0.83,$R$26,$R$27)-$R25)-($R$25-NORMINV(0.17,$R$26,$R$27)))/(NORMINV(0.83,$R$26,$R$27)-NORMINV(0.17,$R$26,$R$27))</f>
        <v>#DIV/0!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 t="e">
        <f>NORMINV(0.025,$R$26,$R$27)</f>
        <v>#DIV/0!</v>
      </c>
      <c r="T28" s="69">
        <v>14</v>
      </c>
      <c r="U28" s="77">
        <f t="shared" si="3"/>
        <v>0</v>
      </c>
      <c r="V28" s="84">
        <v>0</v>
      </c>
      <c r="W28" s="79">
        <f t="shared" si="4"/>
        <v>0</v>
      </c>
      <c r="X28" s="80" t="e">
        <f t="shared" si="2"/>
        <v>#DIV/0!</v>
      </c>
    </row>
    <row r="29" spans="1:24" ht="15" customHeight="1" x14ac:dyDescent="0.2">
      <c r="A29" s="65" t="s">
        <v>25</v>
      </c>
      <c r="B29" s="62" t="e">
        <f>IF(ABS(($R26-$R$25)/$R$26)&lt;=0.1,"gut",IF(ABS(($R$26-$R$25)/$R$26)&lt;=0.2,"mäßig","schlecht"))</f>
        <v>#DIV/0!</v>
      </c>
      <c r="C29" s="62"/>
      <c r="M29" s="56"/>
      <c r="N29" s="57"/>
      <c r="O29" s="58" t="b">
        <f t="shared" si="0"/>
        <v>0</v>
      </c>
      <c r="Q29" s="75" t="s">
        <v>107</v>
      </c>
      <c r="R29" s="75" t="e">
        <f>NORMINV(0.01,$R$26,$R$27)</f>
        <v>#DIV/0!</v>
      </c>
      <c r="T29" s="69">
        <v>15</v>
      </c>
      <c r="U29" s="77">
        <f t="shared" si="3"/>
        <v>0</v>
      </c>
      <c r="V29" s="84">
        <v>0</v>
      </c>
      <c r="W29" s="79">
        <f t="shared" si="4"/>
        <v>0</v>
      </c>
      <c r="X29" s="80" t="e">
        <f t="shared" si="2"/>
        <v>#DIV/0!</v>
      </c>
    </row>
    <row r="30" spans="1:24" ht="15" customHeight="1" x14ac:dyDescent="0.2">
      <c r="A30" s="65" t="s">
        <v>44</v>
      </c>
      <c r="B30" s="62" t="e">
        <f>IF(((MAX($N$3:$N$252)-MIN($O$3:$O$252))/$R$27)&gt;INDEX(XX!$B$4:$B$150,$B$9-3),"ja","nein")</f>
        <v>#DIV/0!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 t="e">
        <f>NORMINV(0.95,$R$26,$R$27)</f>
        <v>#DIV/0!</v>
      </c>
      <c r="T30" s="69">
        <v>16</v>
      </c>
      <c r="U30" s="77">
        <f t="shared" si="3"/>
        <v>0</v>
      </c>
      <c r="V30" s="84">
        <v>0</v>
      </c>
      <c r="W30" s="79">
        <f t="shared" si="4"/>
        <v>0</v>
      </c>
      <c r="X30" s="80" t="e">
        <f t="shared" si="2"/>
        <v>#DIV/0!</v>
      </c>
    </row>
    <row r="31" spans="1:24" ht="15" customHeight="1" x14ac:dyDescent="0.2">
      <c r="A31" s="65" t="s">
        <v>98</v>
      </c>
      <c r="B31" s="62" t="e">
        <f>EXP($R30)-$B$26</f>
        <v>#DIV/0!</v>
      </c>
      <c r="C31" s="62" t="e">
        <f>NORMINV(0.025,$R$26,$R$27)</f>
        <v>#DIV/0!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 t="e">
        <f>NORMINV(0.98,$R$26,$R$27)</f>
        <v>#DIV/0!</v>
      </c>
      <c r="T31" s="69">
        <v>17</v>
      </c>
      <c r="U31" s="77">
        <f t="shared" si="3"/>
        <v>0</v>
      </c>
      <c r="V31" s="84">
        <v>0</v>
      </c>
      <c r="W31" s="79">
        <f t="shared" si="4"/>
        <v>0</v>
      </c>
      <c r="X31" s="80" t="e">
        <f t="shared" si="2"/>
        <v>#DIV/0!</v>
      </c>
    </row>
    <row r="32" spans="1:24" ht="15" customHeight="1" x14ac:dyDescent="0.2">
      <c r="A32" s="65" t="s">
        <v>86</v>
      </c>
      <c r="B32" s="62" t="e">
        <f>EXP($R$31)-$B$26</f>
        <v>#DIV/0!</v>
      </c>
      <c r="C32" s="62" t="e">
        <f>NORMINV(0.01,$R$26,$R$27)</f>
        <v>#DIV/0!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</v>
      </c>
      <c r="V32" s="84">
        <v>0</v>
      </c>
      <c r="W32" s="79">
        <f t="shared" si="4"/>
        <v>0</v>
      </c>
      <c r="X32" s="80" t="e">
        <f t="shared" si="2"/>
        <v>#DIV/0!</v>
      </c>
    </row>
    <row r="33" spans="1:24" ht="15" customHeight="1" x14ac:dyDescent="0.25">
      <c r="A33" s="112" t="s">
        <v>81</v>
      </c>
      <c r="B33" s="113" t="e">
        <f>MAX($B$32+0.5*$B$6,B6)</f>
        <v>#DIV/0!</v>
      </c>
      <c r="M33" s="56"/>
      <c r="N33" s="57"/>
      <c r="O33" s="58" t="b">
        <f t="shared" si="0"/>
        <v>0</v>
      </c>
      <c r="T33" s="69">
        <v>19</v>
      </c>
      <c r="U33" s="77">
        <f t="shared" si="3"/>
        <v>0</v>
      </c>
      <c r="V33" s="84">
        <v>0</v>
      </c>
      <c r="W33" s="79">
        <f t="shared" si="4"/>
        <v>0</v>
      </c>
      <c r="X33" s="80" t="e">
        <f t="shared" si="2"/>
        <v>#DIV/0!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</v>
      </c>
      <c r="V34" s="84">
        <v>0</v>
      </c>
      <c r="W34" s="79">
        <f t="shared" si="4"/>
        <v>0</v>
      </c>
      <c r="X34" s="80" t="e">
        <f t="shared" si="2"/>
        <v>#DIV/0!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</v>
      </c>
      <c r="V35" s="84">
        <v>0</v>
      </c>
      <c r="W35" s="79">
        <f t="shared" si="4"/>
        <v>0</v>
      </c>
      <c r="X35" s="80" t="e">
        <f t="shared" si="2"/>
        <v>#DIV/0!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</v>
      </c>
      <c r="V36" s="84">
        <v>0</v>
      </c>
      <c r="W36" s="79">
        <f t="shared" si="4"/>
        <v>0</v>
      </c>
      <c r="X36" s="80" t="e">
        <f t="shared" si="2"/>
        <v>#DIV/0!</v>
      </c>
    </row>
    <row r="37" spans="1:24" ht="15.75" x14ac:dyDescent="0.25">
      <c r="A37" s="103" t="s">
        <v>8</v>
      </c>
      <c r="B37" s="52">
        <f>1.05*B11</f>
        <v>0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</v>
      </c>
      <c r="V37" s="84">
        <v>0</v>
      </c>
      <c r="W37" s="79">
        <f t="shared" si="4"/>
        <v>0</v>
      </c>
      <c r="X37" s="80" t="e">
        <f t="shared" si="2"/>
        <v>#DIV/0!</v>
      </c>
    </row>
    <row r="38" spans="1:24" ht="15" x14ac:dyDescent="0.2">
      <c r="A38" s="104" t="s">
        <v>19</v>
      </c>
      <c r="B38" s="53">
        <f>($B$37-$B$36)/25</f>
        <v>0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</v>
      </c>
      <c r="V38" s="84">
        <v>0</v>
      </c>
      <c r="W38" s="79">
        <f t="shared" si="4"/>
        <v>0</v>
      </c>
      <c r="X38" s="80" t="e">
        <f t="shared" si="2"/>
        <v>#DIV/0!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</v>
      </c>
      <c r="V39" s="84">
        <v>0</v>
      </c>
      <c r="W39" s="79">
        <f t="shared" si="4"/>
        <v>0</v>
      </c>
      <c r="X39" s="80" t="e">
        <f t="shared" si="2"/>
        <v>#DIV/0!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 t="e">
        <f t="shared" si="2"/>
        <v>#DIV/0!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0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0</v>
      </c>
      <c r="U47" s="28" t="e">
        <f>$X$15</f>
        <v>#DIV/0!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</v>
      </c>
      <c r="U48" s="28" t="e">
        <f>$X$15</f>
        <v>#DIV/0!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</v>
      </c>
      <c r="U49" s="28" t="e">
        <f>$X$16</f>
        <v>#DIV/0!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</v>
      </c>
      <c r="U50" s="28" t="e">
        <f>$X$16</f>
        <v>#DIV/0!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</v>
      </c>
      <c r="U51" s="28" t="e">
        <f>$X$17</f>
        <v>#DIV/0!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</v>
      </c>
      <c r="U52" s="28" t="e">
        <f>$X$17</f>
        <v>#DIV/0!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</v>
      </c>
      <c r="U53" s="28" t="e">
        <f>$X$18</f>
        <v>#DIV/0!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</v>
      </c>
      <c r="U54" s="28" t="e">
        <f>$X$18</f>
        <v>#DIV/0!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</v>
      </c>
      <c r="U55" s="28" t="e">
        <f>$X$19</f>
        <v>#DIV/0!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</v>
      </c>
      <c r="U56" s="28" t="e">
        <f>$X$19</f>
        <v>#DIV/0!</v>
      </c>
    </row>
    <row r="57" spans="5:21" ht="15" x14ac:dyDescent="0.2">
      <c r="E57" s="70">
        <v>1</v>
      </c>
      <c r="F57" s="74" t="e">
        <f>$B$21</f>
        <v>#DIV/0!</v>
      </c>
      <c r="G57" s="74" t="e">
        <f>$C$21</f>
        <v>#DIV/0!</v>
      </c>
      <c r="H57" s="74" t="e">
        <f>$B$22</f>
        <v>#DIV/0!</v>
      </c>
      <c r="I57" s="74" t="e">
        <f>$C$22</f>
        <v>#DIV/0!</v>
      </c>
      <c r="J57" s="74" t="e">
        <f>$B$31</f>
        <v>#DIV/0!</v>
      </c>
      <c r="K57" s="74" t="e">
        <f>$B$32</f>
        <v>#DIV/0!</v>
      </c>
      <c r="M57" s="56"/>
      <c r="N57" s="57"/>
      <c r="O57" s="58" t="b">
        <f t="shared" si="0"/>
        <v>0</v>
      </c>
      <c r="T57" s="85">
        <f>$U$19+$B$38/100</f>
        <v>0</v>
      </c>
      <c r="U57" s="28" t="e">
        <f>$X$20</f>
        <v>#DIV/0!</v>
      </c>
    </row>
    <row r="58" spans="5:21" ht="15" x14ac:dyDescent="0.2">
      <c r="E58" s="70">
        <v>73415</v>
      </c>
      <c r="F58" s="74" t="e">
        <f>$B$21</f>
        <v>#DIV/0!</v>
      </c>
      <c r="G58" s="74" t="e">
        <f>$C$21</f>
        <v>#DIV/0!</v>
      </c>
      <c r="H58" s="74" t="e">
        <f>$B$22</f>
        <v>#DIV/0!</v>
      </c>
      <c r="I58" s="74" t="e">
        <f>$C$22</f>
        <v>#DIV/0!</v>
      </c>
      <c r="J58" s="74" t="e">
        <f>$B$31</f>
        <v>#DIV/0!</v>
      </c>
      <c r="K58" s="74" t="e">
        <f>$B$32</f>
        <v>#DIV/0!</v>
      </c>
      <c r="M58" s="56"/>
      <c r="N58" s="57"/>
      <c r="O58" s="58" t="b">
        <f t="shared" si="0"/>
        <v>0</v>
      </c>
      <c r="T58" s="85">
        <f>$U$20-$B$38/100</f>
        <v>0</v>
      </c>
      <c r="U58" s="28" t="e">
        <f>$X$20</f>
        <v>#DIV/0!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</v>
      </c>
      <c r="U59" s="28" t="e">
        <f>$X$21</f>
        <v>#DIV/0!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</v>
      </c>
      <c r="U60" s="28" t="e">
        <f>$X$21</f>
        <v>#DIV/0!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</v>
      </c>
      <c r="U61" s="28" t="e">
        <f>$X$22</f>
        <v>#DIV/0!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</v>
      </c>
      <c r="U62" s="28" t="e">
        <f>$X$22</f>
        <v>#DIV/0!</v>
      </c>
    </row>
    <row r="63" spans="5:21" ht="15" x14ac:dyDescent="0.2">
      <c r="E63" s="72">
        <v>-5</v>
      </c>
      <c r="F63" s="73" t="e">
        <f>$B$16+$E63*$B$17</f>
        <v>#DIV/0!</v>
      </c>
      <c r="G63" s="73" t="e">
        <f>NORMDIST($F63,$B$16,$B$17,FALSE)</f>
        <v>#DIV/0!</v>
      </c>
      <c r="H63" s="73" t="e">
        <f>EXP($R$26+$E63*$R$27)</f>
        <v>#DIV/0!</v>
      </c>
      <c r="I63" s="73" t="e">
        <f t="shared" ref="I63:I113" si="5">H63-$B$26</f>
        <v>#DIV/0!</v>
      </c>
      <c r="J63" s="73" t="e">
        <f>1/$H63/SQRT(2*PI())/$R$27*EXP(-POWER(LN($H63)-$R$26,2)/2/POWER($R$27,2))</f>
        <v>#DIV/0!</v>
      </c>
      <c r="K63" s="73" t="e">
        <f>LOGNORMDIST($H63,$R$26,$R$27)</f>
        <v>#DIV/0!</v>
      </c>
      <c r="M63" s="56"/>
      <c r="N63" s="57"/>
      <c r="O63" s="58" t="b">
        <f t="shared" si="0"/>
        <v>0</v>
      </c>
      <c r="T63" s="85">
        <f>$U$22+$B$38/100</f>
        <v>0</v>
      </c>
      <c r="U63" s="28" t="e">
        <f>$X$23</f>
        <v>#DIV/0!</v>
      </c>
    </row>
    <row r="64" spans="5:21" ht="15" x14ac:dyDescent="0.2">
      <c r="E64" s="72">
        <v>-4.8</v>
      </c>
      <c r="F64" s="73" t="e">
        <f t="shared" ref="F64:F113" si="6">$B$16+$E64*$B$17</f>
        <v>#DIV/0!</v>
      </c>
      <c r="G64" s="73" t="e">
        <f t="shared" ref="G64:G113" si="7">NORMDIST($F64,$B$16,$B$17,FALSE)</f>
        <v>#DIV/0!</v>
      </c>
      <c r="H64" s="73" t="e">
        <f t="shared" ref="H64:H113" si="8">EXP($R$26+$E64*$R$27)</f>
        <v>#DIV/0!</v>
      </c>
      <c r="I64" s="73" t="e">
        <f t="shared" si="5"/>
        <v>#DIV/0!</v>
      </c>
      <c r="J64" s="73" t="e">
        <f t="shared" ref="J64:J113" si="9">1/$H64/SQRT(2*PI())/$R$27*EXP(-POWER(LN($H64)-$R$26,2)/2/POWER($R$27,2))</f>
        <v>#DIV/0!</v>
      </c>
      <c r="K64" s="73" t="e">
        <f t="shared" ref="K64:K113" si="10">LOGNORMDIST($H64,$R$26,$R$27)</f>
        <v>#DIV/0!</v>
      </c>
      <c r="M64" s="56"/>
      <c r="N64" s="57"/>
      <c r="O64" s="58" t="b">
        <f t="shared" si="0"/>
        <v>0</v>
      </c>
      <c r="T64" s="85">
        <f>$U$23-$B$38/100</f>
        <v>0</v>
      </c>
      <c r="U64" s="28" t="e">
        <f>$X$23</f>
        <v>#DIV/0!</v>
      </c>
    </row>
    <row r="65" spans="5:21" ht="15" x14ac:dyDescent="0.2">
      <c r="E65" s="72">
        <v>-4.5999999999999996</v>
      </c>
      <c r="F65" s="73" t="e">
        <f t="shared" si="6"/>
        <v>#DIV/0!</v>
      </c>
      <c r="G65" s="73" t="e">
        <f t="shared" si="7"/>
        <v>#DIV/0!</v>
      </c>
      <c r="H65" s="73" t="e">
        <f t="shared" si="8"/>
        <v>#DIV/0!</v>
      </c>
      <c r="I65" s="73" t="e">
        <f t="shared" si="5"/>
        <v>#DIV/0!</v>
      </c>
      <c r="J65" s="73" t="e">
        <f t="shared" si="9"/>
        <v>#DIV/0!</v>
      </c>
      <c r="K65" s="73" t="e">
        <f t="shared" si="10"/>
        <v>#DIV/0!</v>
      </c>
      <c r="M65" s="56"/>
      <c r="N65" s="57"/>
      <c r="O65" s="58" t="b">
        <f t="shared" si="0"/>
        <v>0</v>
      </c>
      <c r="T65" s="85">
        <f>$U$23+$B$38/100</f>
        <v>0</v>
      </c>
      <c r="U65" s="28" t="e">
        <f>$X$24</f>
        <v>#DIV/0!</v>
      </c>
    </row>
    <row r="66" spans="5:21" ht="15" x14ac:dyDescent="0.2">
      <c r="E66" s="72">
        <v>-4.4000000000000004</v>
      </c>
      <c r="F66" s="73" t="e">
        <f t="shared" si="6"/>
        <v>#DIV/0!</v>
      </c>
      <c r="G66" s="73" t="e">
        <f t="shared" si="7"/>
        <v>#DIV/0!</v>
      </c>
      <c r="H66" s="73" t="e">
        <f t="shared" si="8"/>
        <v>#DIV/0!</v>
      </c>
      <c r="I66" s="73" t="e">
        <f t="shared" si="5"/>
        <v>#DIV/0!</v>
      </c>
      <c r="J66" s="73" t="e">
        <f t="shared" si="9"/>
        <v>#DIV/0!</v>
      </c>
      <c r="K66" s="73" t="e">
        <f t="shared" si="10"/>
        <v>#DIV/0!</v>
      </c>
      <c r="M66" s="56"/>
      <c r="N66" s="57"/>
      <c r="O66" s="58" t="b">
        <f t="shared" si="0"/>
        <v>0</v>
      </c>
      <c r="T66" s="85">
        <f>$U$24-$B$38/100</f>
        <v>0</v>
      </c>
      <c r="U66" s="28" t="e">
        <f>$X$24</f>
        <v>#DIV/0!</v>
      </c>
    </row>
    <row r="67" spans="5:21" ht="15" x14ac:dyDescent="0.2">
      <c r="E67" s="72">
        <v>-4.2</v>
      </c>
      <c r="F67" s="73" t="e">
        <f t="shared" si="6"/>
        <v>#DIV/0!</v>
      </c>
      <c r="G67" s="73" t="e">
        <f t="shared" si="7"/>
        <v>#DIV/0!</v>
      </c>
      <c r="H67" s="73" t="e">
        <f t="shared" si="8"/>
        <v>#DIV/0!</v>
      </c>
      <c r="I67" s="73" t="e">
        <f t="shared" si="5"/>
        <v>#DIV/0!</v>
      </c>
      <c r="J67" s="73" t="e">
        <f t="shared" si="9"/>
        <v>#DIV/0!</v>
      </c>
      <c r="K67" s="73" t="e">
        <f t="shared" si="10"/>
        <v>#DIV/0!</v>
      </c>
      <c r="M67" s="56"/>
      <c r="N67" s="57"/>
      <c r="O67" s="58" t="b">
        <f t="shared" ref="O67:O130" si="11">IF($N67&gt;0,LN($N67+$B$26))</f>
        <v>0</v>
      </c>
      <c r="T67" s="85">
        <f>$U$24+$B$38/100</f>
        <v>0</v>
      </c>
      <c r="U67" s="28" t="e">
        <f>$X$25</f>
        <v>#DIV/0!</v>
      </c>
    </row>
    <row r="68" spans="5:21" ht="15" x14ac:dyDescent="0.2">
      <c r="E68" s="72">
        <v>-4</v>
      </c>
      <c r="F68" s="73" t="e">
        <f t="shared" si="6"/>
        <v>#DIV/0!</v>
      </c>
      <c r="G68" s="73" t="e">
        <f t="shared" si="7"/>
        <v>#DIV/0!</v>
      </c>
      <c r="H68" s="73" t="e">
        <f t="shared" si="8"/>
        <v>#DIV/0!</v>
      </c>
      <c r="I68" s="73" t="e">
        <f t="shared" si="5"/>
        <v>#DIV/0!</v>
      </c>
      <c r="J68" s="73" t="e">
        <f t="shared" si="9"/>
        <v>#DIV/0!</v>
      </c>
      <c r="K68" s="73" t="e">
        <f t="shared" si="10"/>
        <v>#DIV/0!</v>
      </c>
      <c r="M68" s="56"/>
      <c r="N68" s="57"/>
      <c r="O68" s="58" t="b">
        <f t="shared" si="11"/>
        <v>0</v>
      </c>
      <c r="T68" s="85">
        <f>$U$25-$B$38/100</f>
        <v>0</v>
      </c>
      <c r="U68" s="28" t="e">
        <f>$X$25</f>
        <v>#DIV/0!</v>
      </c>
    </row>
    <row r="69" spans="5:21" ht="15" x14ac:dyDescent="0.2">
      <c r="E69" s="72">
        <v>-3.8</v>
      </c>
      <c r="F69" s="73" t="e">
        <f t="shared" si="6"/>
        <v>#DIV/0!</v>
      </c>
      <c r="G69" s="73" t="e">
        <f t="shared" si="7"/>
        <v>#DIV/0!</v>
      </c>
      <c r="H69" s="73" t="e">
        <f t="shared" si="8"/>
        <v>#DIV/0!</v>
      </c>
      <c r="I69" s="73" t="e">
        <f t="shared" si="5"/>
        <v>#DIV/0!</v>
      </c>
      <c r="J69" s="73" t="e">
        <f t="shared" si="9"/>
        <v>#DIV/0!</v>
      </c>
      <c r="K69" s="73" t="e">
        <f t="shared" si="10"/>
        <v>#DIV/0!</v>
      </c>
      <c r="M69" s="56"/>
      <c r="N69" s="57"/>
      <c r="O69" s="58" t="b">
        <f t="shared" si="11"/>
        <v>0</v>
      </c>
      <c r="T69" s="85">
        <f>$U$25+$B$38/100</f>
        <v>0</v>
      </c>
      <c r="U69" s="28" t="e">
        <f>$X$26</f>
        <v>#DIV/0!</v>
      </c>
    </row>
    <row r="70" spans="5:21" ht="15" x14ac:dyDescent="0.2">
      <c r="E70" s="72">
        <v>-3.6</v>
      </c>
      <c r="F70" s="73" t="e">
        <f t="shared" si="6"/>
        <v>#DIV/0!</v>
      </c>
      <c r="G70" s="73" t="e">
        <f t="shared" si="7"/>
        <v>#DIV/0!</v>
      </c>
      <c r="H70" s="73" t="e">
        <f t="shared" si="8"/>
        <v>#DIV/0!</v>
      </c>
      <c r="I70" s="73" t="e">
        <f t="shared" si="5"/>
        <v>#DIV/0!</v>
      </c>
      <c r="J70" s="73" t="e">
        <f t="shared" si="9"/>
        <v>#DIV/0!</v>
      </c>
      <c r="K70" s="73" t="e">
        <f t="shared" si="10"/>
        <v>#DIV/0!</v>
      </c>
      <c r="M70" s="56"/>
      <c r="N70" s="57"/>
      <c r="O70" s="58" t="b">
        <f t="shared" si="11"/>
        <v>0</v>
      </c>
      <c r="T70" s="85">
        <f>$U$26-$B$38/100</f>
        <v>0</v>
      </c>
      <c r="U70" s="28" t="e">
        <f>$X$26</f>
        <v>#DIV/0!</v>
      </c>
    </row>
    <row r="71" spans="5:21" ht="15" x14ac:dyDescent="0.2">
      <c r="E71" s="72">
        <v>-3.4</v>
      </c>
      <c r="F71" s="73" t="e">
        <f t="shared" si="6"/>
        <v>#DIV/0!</v>
      </c>
      <c r="G71" s="73" t="e">
        <f t="shared" si="7"/>
        <v>#DIV/0!</v>
      </c>
      <c r="H71" s="73" t="e">
        <f t="shared" si="8"/>
        <v>#DIV/0!</v>
      </c>
      <c r="I71" s="73" t="e">
        <f t="shared" si="5"/>
        <v>#DIV/0!</v>
      </c>
      <c r="J71" s="73" t="e">
        <f t="shared" si="9"/>
        <v>#DIV/0!</v>
      </c>
      <c r="K71" s="73" t="e">
        <f t="shared" si="10"/>
        <v>#DIV/0!</v>
      </c>
      <c r="M71" s="56"/>
      <c r="N71" s="57"/>
      <c r="O71" s="58" t="b">
        <f t="shared" si="11"/>
        <v>0</v>
      </c>
      <c r="T71" s="85">
        <f>$U$26+$B$38/100</f>
        <v>0</v>
      </c>
      <c r="U71" s="28" t="e">
        <f>$X$27</f>
        <v>#DIV/0!</v>
      </c>
    </row>
    <row r="72" spans="5:21" ht="15" x14ac:dyDescent="0.2">
      <c r="E72" s="72">
        <v>-3.2</v>
      </c>
      <c r="F72" s="73" t="e">
        <f t="shared" si="6"/>
        <v>#DIV/0!</v>
      </c>
      <c r="G72" s="73" t="e">
        <f t="shared" si="7"/>
        <v>#DIV/0!</v>
      </c>
      <c r="H72" s="73" t="e">
        <f t="shared" si="8"/>
        <v>#DIV/0!</v>
      </c>
      <c r="I72" s="73" t="e">
        <f t="shared" si="5"/>
        <v>#DIV/0!</v>
      </c>
      <c r="J72" s="73" t="e">
        <f t="shared" si="9"/>
        <v>#DIV/0!</v>
      </c>
      <c r="K72" s="73" t="e">
        <f t="shared" si="10"/>
        <v>#DIV/0!</v>
      </c>
      <c r="M72" s="56"/>
      <c r="N72" s="57"/>
      <c r="O72" s="58" t="b">
        <f t="shared" si="11"/>
        <v>0</v>
      </c>
      <c r="T72" s="85">
        <f>$U$27-$B$38/100</f>
        <v>0</v>
      </c>
      <c r="U72" s="28" t="e">
        <f>$X$27</f>
        <v>#DIV/0!</v>
      </c>
    </row>
    <row r="73" spans="5:21" ht="15" x14ac:dyDescent="0.2">
      <c r="E73" s="72">
        <v>-3</v>
      </c>
      <c r="F73" s="73" t="e">
        <f t="shared" si="6"/>
        <v>#DIV/0!</v>
      </c>
      <c r="G73" s="73" t="e">
        <f t="shared" si="7"/>
        <v>#DIV/0!</v>
      </c>
      <c r="H73" s="73" t="e">
        <f t="shared" si="8"/>
        <v>#DIV/0!</v>
      </c>
      <c r="I73" s="73" t="e">
        <f t="shared" si="5"/>
        <v>#DIV/0!</v>
      </c>
      <c r="J73" s="73" t="e">
        <f t="shared" si="9"/>
        <v>#DIV/0!</v>
      </c>
      <c r="K73" s="73" t="e">
        <f t="shared" si="10"/>
        <v>#DIV/0!</v>
      </c>
      <c r="M73" s="56"/>
      <c r="N73" s="57"/>
      <c r="O73" s="58" t="b">
        <f t="shared" si="11"/>
        <v>0</v>
      </c>
      <c r="T73" s="85">
        <f>$U$27+$B$38/100</f>
        <v>0</v>
      </c>
      <c r="U73" s="28" t="e">
        <f>$X$28</f>
        <v>#DIV/0!</v>
      </c>
    </row>
    <row r="74" spans="5:21" ht="15" x14ac:dyDescent="0.2">
      <c r="E74" s="72">
        <v>-2.8</v>
      </c>
      <c r="F74" s="73" t="e">
        <f t="shared" si="6"/>
        <v>#DIV/0!</v>
      </c>
      <c r="G74" s="73" t="e">
        <f t="shared" si="7"/>
        <v>#DIV/0!</v>
      </c>
      <c r="H74" s="73" t="e">
        <f t="shared" si="8"/>
        <v>#DIV/0!</v>
      </c>
      <c r="I74" s="73" t="e">
        <f t="shared" si="5"/>
        <v>#DIV/0!</v>
      </c>
      <c r="J74" s="73" t="e">
        <f t="shared" si="9"/>
        <v>#DIV/0!</v>
      </c>
      <c r="K74" s="73" t="e">
        <f t="shared" si="10"/>
        <v>#DIV/0!</v>
      </c>
      <c r="M74" s="56"/>
      <c r="N74" s="57"/>
      <c r="O74" s="58" t="b">
        <f t="shared" si="11"/>
        <v>0</v>
      </c>
      <c r="T74" s="85">
        <f>$U$28-$B$38/100</f>
        <v>0</v>
      </c>
      <c r="U74" s="28" t="e">
        <f>$X$28</f>
        <v>#DIV/0!</v>
      </c>
    </row>
    <row r="75" spans="5:21" ht="15" x14ac:dyDescent="0.2">
      <c r="E75" s="72">
        <v>-2.6</v>
      </c>
      <c r="F75" s="73" t="e">
        <f t="shared" si="6"/>
        <v>#DIV/0!</v>
      </c>
      <c r="G75" s="73" t="e">
        <f t="shared" si="7"/>
        <v>#DIV/0!</v>
      </c>
      <c r="H75" s="73" t="e">
        <f t="shared" si="8"/>
        <v>#DIV/0!</v>
      </c>
      <c r="I75" s="73" t="e">
        <f t="shared" si="5"/>
        <v>#DIV/0!</v>
      </c>
      <c r="J75" s="73" t="e">
        <f t="shared" si="9"/>
        <v>#DIV/0!</v>
      </c>
      <c r="K75" s="73" t="e">
        <f t="shared" si="10"/>
        <v>#DIV/0!</v>
      </c>
      <c r="M75" s="56"/>
      <c r="N75" s="57"/>
      <c r="O75" s="58" t="b">
        <f t="shared" si="11"/>
        <v>0</v>
      </c>
      <c r="T75" s="85">
        <f>$U$28+$B$38/100</f>
        <v>0</v>
      </c>
      <c r="U75" s="28" t="e">
        <f>$X$29</f>
        <v>#DIV/0!</v>
      </c>
    </row>
    <row r="76" spans="5:21" ht="15" x14ac:dyDescent="0.2">
      <c r="E76" s="72">
        <v>-2.4</v>
      </c>
      <c r="F76" s="73" t="e">
        <f t="shared" si="6"/>
        <v>#DIV/0!</v>
      </c>
      <c r="G76" s="73" t="e">
        <f t="shared" si="7"/>
        <v>#DIV/0!</v>
      </c>
      <c r="H76" s="73" t="e">
        <f t="shared" si="8"/>
        <v>#DIV/0!</v>
      </c>
      <c r="I76" s="73" t="e">
        <f t="shared" si="5"/>
        <v>#DIV/0!</v>
      </c>
      <c r="J76" s="73" t="e">
        <f t="shared" si="9"/>
        <v>#DIV/0!</v>
      </c>
      <c r="K76" s="73" t="e">
        <f t="shared" si="10"/>
        <v>#DIV/0!</v>
      </c>
      <c r="M76" s="56"/>
      <c r="N76" s="57"/>
      <c r="O76" s="58" t="b">
        <f t="shared" si="11"/>
        <v>0</v>
      </c>
      <c r="T76" s="85">
        <f>$U$29-$B$38/100</f>
        <v>0</v>
      </c>
      <c r="U76" s="28" t="e">
        <f>$X$29</f>
        <v>#DIV/0!</v>
      </c>
    </row>
    <row r="77" spans="5:21" ht="15" x14ac:dyDescent="0.2">
      <c r="E77" s="72">
        <v>-2.2000000000000002</v>
      </c>
      <c r="F77" s="73" t="e">
        <f t="shared" si="6"/>
        <v>#DIV/0!</v>
      </c>
      <c r="G77" s="73" t="e">
        <f t="shared" si="7"/>
        <v>#DIV/0!</v>
      </c>
      <c r="H77" s="73" t="e">
        <f t="shared" si="8"/>
        <v>#DIV/0!</v>
      </c>
      <c r="I77" s="73" t="e">
        <f t="shared" si="5"/>
        <v>#DIV/0!</v>
      </c>
      <c r="J77" s="73" t="e">
        <f t="shared" si="9"/>
        <v>#DIV/0!</v>
      </c>
      <c r="K77" s="73" t="e">
        <f t="shared" si="10"/>
        <v>#DIV/0!</v>
      </c>
      <c r="L77" s="16"/>
      <c r="M77" s="56"/>
      <c r="N77" s="57"/>
      <c r="O77" s="58" t="b">
        <f t="shared" si="11"/>
        <v>0</v>
      </c>
      <c r="T77" s="85">
        <f>$U$29+$B$38/100</f>
        <v>0</v>
      </c>
      <c r="U77" s="28" t="e">
        <f>$X$30</f>
        <v>#DIV/0!</v>
      </c>
    </row>
    <row r="78" spans="5:21" ht="15" x14ac:dyDescent="0.2">
      <c r="E78" s="72">
        <v>-2</v>
      </c>
      <c r="F78" s="73" t="e">
        <f t="shared" si="6"/>
        <v>#DIV/0!</v>
      </c>
      <c r="G78" s="73" t="e">
        <f t="shared" si="7"/>
        <v>#DIV/0!</v>
      </c>
      <c r="H78" s="73" t="e">
        <f t="shared" si="8"/>
        <v>#DIV/0!</v>
      </c>
      <c r="I78" s="73" t="e">
        <f t="shared" si="5"/>
        <v>#DIV/0!</v>
      </c>
      <c r="J78" s="73" t="e">
        <f t="shared" si="9"/>
        <v>#DIV/0!</v>
      </c>
      <c r="K78" s="73" t="e">
        <f t="shared" si="10"/>
        <v>#DIV/0!</v>
      </c>
      <c r="L78" s="16"/>
      <c r="M78" s="56"/>
      <c r="N78" s="57"/>
      <c r="O78" s="58" t="b">
        <f t="shared" si="11"/>
        <v>0</v>
      </c>
      <c r="T78" s="85">
        <f>$U$30-$B$38/100</f>
        <v>0</v>
      </c>
      <c r="U78" s="28" t="e">
        <f>$X$30</f>
        <v>#DIV/0!</v>
      </c>
    </row>
    <row r="79" spans="5:21" ht="15" x14ac:dyDescent="0.2">
      <c r="E79" s="72">
        <v>-1.8</v>
      </c>
      <c r="F79" s="73" t="e">
        <f t="shared" si="6"/>
        <v>#DIV/0!</v>
      </c>
      <c r="G79" s="73" t="e">
        <f t="shared" si="7"/>
        <v>#DIV/0!</v>
      </c>
      <c r="H79" s="73" t="e">
        <f t="shared" si="8"/>
        <v>#DIV/0!</v>
      </c>
      <c r="I79" s="73" t="e">
        <f t="shared" si="5"/>
        <v>#DIV/0!</v>
      </c>
      <c r="J79" s="73" t="e">
        <f t="shared" si="9"/>
        <v>#DIV/0!</v>
      </c>
      <c r="K79" s="73" t="e">
        <f t="shared" si="10"/>
        <v>#DIV/0!</v>
      </c>
      <c r="L79" s="16"/>
      <c r="M79" s="56"/>
      <c r="N79" s="57"/>
      <c r="O79" s="58" t="b">
        <f t="shared" si="11"/>
        <v>0</v>
      </c>
      <c r="T79" s="85">
        <f>$U$30+$B$38/100</f>
        <v>0</v>
      </c>
      <c r="U79" s="28" t="e">
        <f>$X$31</f>
        <v>#DIV/0!</v>
      </c>
    </row>
    <row r="80" spans="5:21" ht="15" x14ac:dyDescent="0.2">
      <c r="E80" s="72">
        <v>-1.6</v>
      </c>
      <c r="F80" s="73" t="e">
        <f t="shared" si="6"/>
        <v>#DIV/0!</v>
      </c>
      <c r="G80" s="73" t="e">
        <f t="shared" si="7"/>
        <v>#DIV/0!</v>
      </c>
      <c r="H80" s="73" t="e">
        <f t="shared" si="8"/>
        <v>#DIV/0!</v>
      </c>
      <c r="I80" s="73" t="e">
        <f t="shared" si="5"/>
        <v>#DIV/0!</v>
      </c>
      <c r="J80" s="73" t="e">
        <f t="shared" si="9"/>
        <v>#DIV/0!</v>
      </c>
      <c r="K80" s="73" t="e">
        <f t="shared" si="10"/>
        <v>#DIV/0!</v>
      </c>
      <c r="L80" s="16"/>
      <c r="M80" s="56"/>
      <c r="N80" s="57"/>
      <c r="O80" s="58" t="b">
        <f t="shared" si="11"/>
        <v>0</v>
      </c>
      <c r="T80" s="85">
        <f>$U$31-$B$38/100</f>
        <v>0</v>
      </c>
      <c r="U80" s="28" t="e">
        <f>$X$31</f>
        <v>#DIV/0!</v>
      </c>
    </row>
    <row r="81" spans="5:21" ht="15" x14ac:dyDescent="0.2">
      <c r="E81" s="72">
        <v>-1.4</v>
      </c>
      <c r="F81" s="73" t="e">
        <f t="shared" si="6"/>
        <v>#DIV/0!</v>
      </c>
      <c r="G81" s="73" t="e">
        <f t="shared" si="7"/>
        <v>#DIV/0!</v>
      </c>
      <c r="H81" s="73" t="e">
        <f t="shared" si="8"/>
        <v>#DIV/0!</v>
      </c>
      <c r="I81" s="73" t="e">
        <f t="shared" si="5"/>
        <v>#DIV/0!</v>
      </c>
      <c r="J81" s="73" t="e">
        <f t="shared" si="9"/>
        <v>#DIV/0!</v>
      </c>
      <c r="K81" s="73" t="e">
        <f t="shared" si="10"/>
        <v>#DIV/0!</v>
      </c>
      <c r="L81" s="14"/>
      <c r="M81" s="56"/>
      <c r="N81" s="57"/>
      <c r="O81" s="58" t="b">
        <f t="shared" si="11"/>
        <v>0</v>
      </c>
      <c r="T81" s="85">
        <f>$U$31+$B$38/100</f>
        <v>0</v>
      </c>
      <c r="U81" s="28" t="e">
        <f>$X$32</f>
        <v>#DIV/0!</v>
      </c>
    </row>
    <row r="82" spans="5:21" ht="15" x14ac:dyDescent="0.2">
      <c r="E82" s="72">
        <v>-1.2</v>
      </c>
      <c r="F82" s="73" t="e">
        <f t="shared" si="6"/>
        <v>#DIV/0!</v>
      </c>
      <c r="G82" s="73" t="e">
        <f t="shared" si="7"/>
        <v>#DIV/0!</v>
      </c>
      <c r="H82" s="73" t="e">
        <f t="shared" si="8"/>
        <v>#DIV/0!</v>
      </c>
      <c r="I82" s="73" t="e">
        <f t="shared" si="5"/>
        <v>#DIV/0!</v>
      </c>
      <c r="J82" s="73" t="e">
        <f t="shared" si="9"/>
        <v>#DIV/0!</v>
      </c>
      <c r="K82" s="73" t="e">
        <f t="shared" si="10"/>
        <v>#DIV/0!</v>
      </c>
      <c r="L82" s="14"/>
      <c r="M82" s="56"/>
      <c r="N82" s="57"/>
      <c r="O82" s="58" t="b">
        <f t="shared" si="11"/>
        <v>0</v>
      </c>
      <c r="T82" s="85">
        <f>$U$32-$B$38/100</f>
        <v>0</v>
      </c>
      <c r="U82" s="28" t="e">
        <f>$X$32</f>
        <v>#DIV/0!</v>
      </c>
    </row>
    <row r="83" spans="5:21" ht="15" x14ac:dyDescent="0.2">
      <c r="E83" s="72">
        <v>-1</v>
      </c>
      <c r="F83" s="73" t="e">
        <f t="shared" si="6"/>
        <v>#DIV/0!</v>
      </c>
      <c r="G83" s="73" t="e">
        <f t="shared" si="7"/>
        <v>#DIV/0!</v>
      </c>
      <c r="H83" s="73" t="e">
        <f t="shared" si="8"/>
        <v>#DIV/0!</v>
      </c>
      <c r="I83" s="73" t="e">
        <f t="shared" si="5"/>
        <v>#DIV/0!</v>
      </c>
      <c r="J83" s="73" t="e">
        <f t="shared" si="9"/>
        <v>#DIV/0!</v>
      </c>
      <c r="K83" s="73" t="e">
        <f t="shared" si="10"/>
        <v>#DIV/0!</v>
      </c>
      <c r="L83" s="14"/>
      <c r="M83" s="56"/>
      <c r="N83" s="57"/>
      <c r="O83" s="58" t="b">
        <f t="shared" si="11"/>
        <v>0</v>
      </c>
      <c r="T83" s="85">
        <f>$U$32+$B$38/100</f>
        <v>0</v>
      </c>
      <c r="U83" s="28" t="e">
        <f>$X$33</f>
        <v>#DIV/0!</v>
      </c>
    </row>
    <row r="84" spans="5:21" ht="15" x14ac:dyDescent="0.2">
      <c r="E84" s="72">
        <v>-0.8</v>
      </c>
      <c r="F84" s="73" t="e">
        <f t="shared" si="6"/>
        <v>#DIV/0!</v>
      </c>
      <c r="G84" s="73" t="e">
        <f t="shared" si="7"/>
        <v>#DIV/0!</v>
      </c>
      <c r="H84" s="73" t="e">
        <f t="shared" si="8"/>
        <v>#DIV/0!</v>
      </c>
      <c r="I84" s="73" t="e">
        <f t="shared" si="5"/>
        <v>#DIV/0!</v>
      </c>
      <c r="J84" s="73" t="e">
        <f t="shared" si="9"/>
        <v>#DIV/0!</v>
      </c>
      <c r="K84" s="73" t="e">
        <f t="shared" si="10"/>
        <v>#DIV/0!</v>
      </c>
      <c r="M84" s="56"/>
      <c r="N84" s="57"/>
      <c r="O84" s="58" t="b">
        <f t="shared" si="11"/>
        <v>0</v>
      </c>
      <c r="T84" s="85">
        <f>$U$33-$B$38/100</f>
        <v>0</v>
      </c>
      <c r="U84" s="28" t="e">
        <f>$X$33</f>
        <v>#DIV/0!</v>
      </c>
    </row>
    <row r="85" spans="5:21" ht="15" x14ac:dyDescent="0.2">
      <c r="E85" s="72">
        <v>-0.6</v>
      </c>
      <c r="F85" s="73" t="e">
        <f t="shared" si="6"/>
        <v>#DIV/0!</v>
      </c>
      <c r="G85" s="73" t="e">
        <f t="shared" si="7"/>
        <v>#DIV/0!</v>
      </c>
      <c r="H85" s="73" t="e">
        <f t="shared" si="8"/>
        <v>#DIV/0!</v>
      </c>
      <c r="I85" s="73" t="e">
        <f t="shared" si="5"/>
        <v>#DIV/0!</v>
      </c>
      <c r="J85" s="73" t="e">
        <f t="shared" si="9"/>
        <v>#DIV/0!</v>
      </c>
      <c r="K85" s="73" t="e">
        <f t="shared" si="10"/>
        <v>#DIV/0!</v>
      </c>
      <c r="M85" s="56"/>
      <c r="N85" s="57"/>
      <c r="O85" s="58" t="b">
        <f t="shared" si="11"/>
        <v>0</v>
      </c>
      <c r="T85" s="85">
        <f>$U$33+$B$38/100</f>
        <v>0</v>
      </c>
      <c r="U85" s="28" t="e">
        <f>$X$34</f>
        <v>#DIV/0!</v>
      </c>
    </row>
    <row r="86" spans="5:21" ht="15" x14ac:dyDescent="0.2">
      <c r="E86" s="72">
        <v>-0.4</v>
      </c>
      <c r="F86" s="73" t="e">
        <f t="shared" si="6"/>
        <v>#DIV/0!</v>
      </c>
      <c r="G86" s="73" t="e">
        <f t="shared" si="7"/>
        <v>#DIV/0!</v>
      </c>
      <c r="H86" s="73" t="e">
        <f t="shared" si="8"/>
        <v>#DIV/0!</v>
      </c>
      <c r="I86" s="73" t="e">
        <f t="shared" si="5"/>
        <v>#DIV/0!</v>
      </c>
      <c r="J86" s="73" t="e">
        <f t="shared" si="9"/>
        <v>#DIV/0!</v>
      </c>
      <c r="K86" s="73" t="e">
        <f t="shared" si="10"/>
        <v>#DIV/0!</v>
      </c>
      <c r="M86" s="56"/>
      <c r="N86" s="57"/>
      <c r="O86" s="58" t="b">
        <f t="shared" si="11"/>
        <v>0</v>
      </c>
      <c r="T86" s="85">
        <f>$U$34-$B$38/100</f>
        <v>0</v>
      </c>
      <c r="U86" s="28" t="e">
        <f>$X$34</f>
        <v>#DIV/0!</v>
      </c>
    </row>
    <row r="87" spans="5:21" ht="15" x14ac:dyDescent="0.2">
      <c r="E87" s="72">
        <v>-0.2</v>
      </c>
      <c r="F87" s="73" t="e">
        <f t="shared" si="6"/>
        <v>#DIV/0!</v>
      </c>
      <c r="G87" s="73" t="e">
        <f t="shared" si="7"/>
        <v>#DIV/0!</v>
      </c>
      <c r="H87" s="73" t="e">
        <f t="shared" si="8"/>
        <v>#DIV/0!</v>
      </c>
      <c r="I87" s="73" t="e">
        <f t="shared" si="5"/>
        <v>#DIV/0!</v>
      </c>
      <c r="J87" s="73" t="e">
        <f t="shared" si="9"/>
        <v>#DIV/0!</v>
      </c>
      <c r="K87" s="73" t="e">
        <f t="shared" si="10"/>
        <v>#DIV/0!</v>
      </c>
      <c r="M87" s="56"/>
      <c r="N87" s="57"/>
      <c r="O87" s="58" t="b">
        <f t="shared" si="11"/>
        <v>0</v>
      </c>
      <c r="T87" s="85">
        <f>$U$34+$B$38/100</f>
        <v>0</v>
      </c>
      <c r="U87" s="28" t="e">
        <f>$X$35</f>
        <v>#DIV/0!</v>
      </c>
    </row>
    <row r="88" spans="5:21" ht="15" x14ac:dyDescent="0.2">
      <c r="E88" s="72">
        <v>0</v>
      </c>
      <c r="F88" s="73" t="e">
        <f t="shared" si="6"/>
        <v>#DIV/0!</v>
      </c>
      <c r="G88" s="73" t="e">
        <f t="shared" si="7"/>
        <v>#DIV/0!</v>
      </c>
      <c r="H88" s="73" t="e">
        <f t="shared" si="8"/>
        <v>#DIV/0!</v>
      </c>
      <c r="I88" s="73" t="e">
        <f t="shared" si="5"/>
        <v>#DIV/0!</v>
      </c>
      <c r="J88" s="73" t="e">
        <f t="shared" si="9"/>
        <v>#DIV/0!</v>
      </c>
      <c r="K88" s="73" t="e">
        <f t="shared" si="10"/>
        <v>#DIV/0!</v>
      </c>
      <c r="M88" s="56"/>
      <c r="N88" s="57"/>
      <c r="O88" s="58" t="b">
        <f t="shared" si="11"/>
        <v>0</v>
      </c>
      <c r="T88" s="85">
        <f>$U$35-$B$38/100</f>
        <v>0</v>
      </c>
      <c r="U88" s="28" t="e">
        <f>$X$35</f>
        <v>#DIV/0!</v>
      </c>
    </row>
    <row r="89" spans="5:21" ht="15" x14ac:dyDescent="0.2">
      <c r="E89" s="72">
        <v>0.2</v>
      </c>
      <c r="F89" s="73" t="e">
        <f t="shared" si="6"/>
        <v>#DIV/0!</v>
      </c>
      <c r="G89" s="73" t="e">
        <f t="shared" si="7"/>
        <v>#DIV/0!</v>
      </c>
      <c r="H89" s="73" t="e">
        <f t="shared" si="8"/>
        <v>#DIV/0!</v>
      </c>
      <c r="I89" s="73" t="e">
        <f t="shared" si="5"/>
        <v>#DIV/0!</v>
      </c>
      <c r="J89" s="73" t="e">
        <f t="shared" si="9"/>
        <v>#DIV/0!</v>
      </c>
      <c r="K89" s="73" t="e">
        <f t="shared" si="10"/>
        <v>#DIV/0!</v>
      </c>
      <c r="M89" s="56"/>
      <c r="N89" s="57"/>
      <c r="O89" s="58" t="b">
        <f t="shared" si="11"/>
        <v>0</v>
      </c>
      <c r="T89" s="85">
        <f>$U$35+$B$38/100</f>
        <v>0</v>
      </c>
      <c r="U89" s="28" t="e">
        <f>$X$36</f>
        <v>#DIV/0!</v>
      </c>
    </row>
    <row r="90" spans="5:21" ht="15" x14ac:dyDescent="0.2">
      <c r="E90" s="72">
        <v>0.4</v>
      </c>
      <c r="F90" s="73" t="e">
        <f t="shared" si="6"/>
        <v>#DIV/0!</v>
      </c>
      <c r="G90" s="73" t="e">
        <f t="shared" si="7"/>
        <v>#DIV/0!</v>
      </c>
      <c r="H90" s="73" t="e">
        <f t="shared" si="8"/>
        <v>#DIV/0!</v>
      </c>
      <c r="I90" s="73" t="e">
        <f t="shared" si="5"/>
        <v>#DIV/0!</v>
      </c>
      <c r="J90" s="73" t="e">
        <f t="shared" si="9"/>
        <v>#DIV/0!</v>
      </c>
      <c r="K90" s="73" t="e">
        <f t="shared" si="10"/>
        <v>#DIV/0!</v>
      </c>
      <c r="M90" s="56"/>
      <c r="N90" s="57"/>
      <c r="O90" s="58" t="b">
        <f t="shared" si="11"/>
        <v>0</v>
      </c>
      <c r="T90" s="85">
        <f>$U$36-$B$38/100</f>
        <v>0</v>
      </c>
      <c r="U90" s="28" t="e">
        <f>$X$36</f>
        <v>#DIV/0!</v>
      </c>
    </row>
    <row r="91" spans="5:21" ht="15" x14ac:dyDescent="0.2">
      <c r="E91" s="72">
        <v>0.6</v>
      </c>
      <c r="F91" s="73" t="e">
        <f t="shared" si="6"/>
        <v>#DIV/0!</v>
      </c>
      <c r="G91" s="73" t="e">
        <f t="shared" si="7"/>
        <v>#DIV/0!</v>
      </c>
      <c r="H91" s="73" t="e">
        <f t="shared" si="8"/>
        <v>#DIV/0!</v>
      </c>
      <c r="I91" s="73" t="e">
        <f t="shared" si="5"/>
        <v>#DIV/0!</v>
      </c>
      <c r="J91" s="73" t="e">
        <f t="shared" si="9"/>
        <v>#DIV/0!</v>
      </c>
      <c r="K91" s="73" t="e">
        <f t="shared" si="10"/>
        <v>#DIV/0!</v>
      </c>
      <c r="M91" s="56"/>
      <c r="N91" s="57"/>
      <c r="O91" s="58" t="b">
        <f t="shared" si="11"/>
        <v>0</v>
      </c>
      <c r="T91" s="85">
        <f>$U$36+$B$38/100</f>
        <v>0</v>
      </c>
      <c r="U91" s="28" t="e">
        <f>$X$37</f>
        <v>#DIV/0!</v>
      </c>
    </row>
    <row r="92" spans="5:21" ht="15" x14ac:dyDescent="0.2">
      <c r="E92" s="72">
        <v>0.80000000000001004</v>
      </c>
      <c r="F92" s="73" t="e">
        <f t="shared" si="6"/>
        <v>#DIV/0!</v>
      </c>
      <c r="G92" s="73" t="e">
        <f t="shared" si="7"/>
        <v>#DIV/0!</v>
      </c>
      <c r="H92" s="73" t="e">
        <f t="shared" si="8"/>
        <v>#DIV/0!</v>
      </c>
      <c r="I92" s="73" t="e">
        <f t="shared" si="5"/>
        <v>#DIV/0!</v>
      </c>
      <c r="J92" s="73" t="e">
        <f t="shared" si="9"/>
        <v>#DIV/0!</v>
      </c>
      <c r="K92" s="73" t="e">
        <f t="shared" si="10"/>
        <v>#DIV/0!</v>
      </c>
      <c r="M92" s="56"/>
      <c r="N92" s="57"/>
      <c r="O92" s="58" t="b">
        <f t="shared" si="11"/>
        <v>0</v>
      </c>
      <c r="T92" s="85">
        <f>$U$37-$B$38/100</f>
        <v>0</v>
      </c>
      <c r="U92" s="28" t="e">
        <f>$X$37</f>
        <v>#DIV/0!</v>
      </c>
    </row>
    <row r="93" spans="5:21" ht="15" x14ac:dyDescent="0.2">
      <c r="E93" s="72">
        <v>1.00000000000001</v>
      </c>
      <c r="F93" s="73" t="e">
        <f t="shared" si="6"/>
        <v>#DIV/0!</v>
      </c>
      <c r="G93" s="73" t="e">
        <f t="shared" si="7"/>
        <v>#DIV/0!</v>
      </c>
      <c r="H93" s="73" t="e">
        <f t="shared" si="8"/>
        <v>#DIV/0!</v>
      </c>
      <c r="I93" s="73" t="e">
        <f t="shared" si="5"/>
        <v>#DIV/0!</v>
      </c>
      <c r="J93" s="73" t="e">
        <f t="shared" si="9"/>
        <v>#DIV/0!</v>
      </c>
      <c r="K93" s="73" t="e">
        <f t="shared" si="10"/>
        <v>#DIV/0!</v>
      </c>
      <c r="M93" s="56"/>
      <c r="N93" s="57"/>
      <c r="O93" s="58" t="b">
        <f t="shared" si="11"/>
        <v>0</v>
      </c>
      <c r="T93" s="85">
        <f>$U$37+$B$38/100</f>
        <v>0</v>
      </c>
      <c r="U93" s="28" t="e">
        <f>$X$38</f>
        <v>#DIV/0!</v>
      </c>
    </row>
    <row r="94" spans="5:21" ht="15" x14ac:dyDescent="0.2">
      <c r="E94" s="72">
        <v>1.2000000000000099</v>
      </c>
      <c r="F94" s="73" t="e">
        <f t="shared" si="6"/>
        <v>#DIV/0!</v>
      </c>
      <c r="G94" s="73" t="e">
        <f t="shared" si="7"/>
        <v>#DIV/0!</v>
      </c>
      <c r="H94" s="73" t="e">
        <f t="shared" si="8"/>
        <v>#DIV/0!</v>
      </c>
      <c r="I94" s="73" t="e">
        <f t="shared" si="5"/>
        <v>#DIV/0!</v>
      </c>
      <c r="J94" s="73" t="e">
        <f t="shared" si="9"/>
        <v>#DIV/0!</v>
      </c>
      <c r="K94" s="73" t="e">
        <f t="shared" si="10"/>
        <v>#DIV/0!</v>
      </c>
      <c r="M94" s="56"/>
      <c r="N94" s="57"/>
      <c r="O94" s="58" t="b">
        <f t="shared" si="11"/>
        <v>0</v>
      </c>
      <c r="T94" s="85">
        <f>$U$38-$B$38/100</f>
        <v>0</v>
      </c>
      <c r="U94" s="28" t="e">
        <f>$X$38</f>
        <v>#DIV/0!</v>
      </c>
    </row>
    <row r="95" spans="5:21" ht="15" x14ac:dyDescent="0.2">
      <c r="E95" s="72">
        <v>1.4000000000000099</v>
      </c>
      <c r="F95" s="73" t="e">
        <f t="shared" si="6"/>
        <v>#DIV/0!</v>
      </c>
      <c r="G95" s="73" t="e">
        <f t="shared" si="7"/>
        <v>#DIV/0!</v>
      </c>
      <c r="H95" s="73" t="e">
        <f t="shared" si="8"/>
        <v>#DIV/0!</v>
      </c>
      <c r="I95" s="73" t="e">
        <f t="shared" si="5"/>
        <v>#DIV/0!</v>
      </c>
      <c r="J95" s="73" t="e">
        <f t="shared" si="9"/>
        <v>#DIV/0!</v>
      </c>
      <c r="K95" s="73" t="e">
        <f t="shared" si="10"/>
        <v>#DIV/0!</v>
      </c>
      <c r="M95" s="56"/>
      <c r="N95" s="57"/>
      <c r="O95" s="58" t="b">
        <f t="shared" si="11"/>
        <v>0</v>
      </c>
      <c r="T95" s="85">
        <f>$U$38+$B$38/100</f>
        <v>0</v>
      </c>
      <c r="U95" s="28" t="e">
        <f>$X$39</f>
        <v>#DIV/0!</v>
      </c>
    </row>
    <row r="96" spans="5:21" ht="15" x14ac:dyDescent="0.2">
      <c r="E96" s="72">
        <v>1.6000000000000101</v>
      </c>
      <c r="F96" s="73" t="e">
        <f t="shared" si="6"/>
        <v>#DIV/0!</v>
      </c>
      <c r="G96" s="73" t="e">
        <f t="shared" si="7"/>
        <v>#DIV/0!</v>
      </c>
      <c r="H96" s="73" t="e">
        <f t="shared" si="8"/>
        <v>#DIV/0!</v>
      </c>
      <c r="I96" s="73" t="e">
        <f t="shared" si="5"/>
        <v>#DIV/0!</v>
      </c>
      <c r="J96" s="73" t="e">
        <f t="shared" si="9"/>
        <v>#DIV/0!</v>
      </c>
      <c r="K96" s="73" t="e">
        <f t="shared" si="10"/>
        <v>#DIV/0!</v>
      </c>
      <c r="M96" s="56"/>
      <c r="N96" s="57"/>
      <c r="O96" s="58" t="b">
        <f t="shared" si="11"/>
        <v>0</v>
      </c>
      <c r="T96" s="85">
        <f>$U$39-$B$38/100</f>
        <v>0</v>
      </c>
      <c r="U96" s="28" t="e">
        <f>$X$39</f>
        <v>#DIV/0!</v>
      </c>
    </row>
    <row r="97" spans="5:21" ht="15" x14ac:dyDescent="0.2">
      <c r="E97" s="72">
        <v>1.80000000000001</v>
      </c>
      <c r="F97" s="73" t="e">
        <f t="shared" si="6"/>
        <v>#DIV/0!</v>
      </c>
      <c r="G97" s="73" t="e">
        <f t="shared" si="7"/>
        <v>#DIV/0!</v>
      </c>
      <c r="H97" s="73" t="e">
        <f t="shared" si="8"/>
        <v>#DIV/0!</v>
      </c>
      <c r="I97" s="73" t="e">
        <f t="shared" si="5"/>
        <v>#DIV/0!</v>
      </c>
      <c r="J97" s="73" t="e">
        <f t="shared" si="9"/>
        <v>#DIV/0!</v>
      </c>
      <c r="K97" s="73" t="e">
        <f t="shared" si="10"/>
        <v>#DIV/0!</v>
      </c>
      <c r="M97" s="56"/>
      <c r="N97" s="57"/>
      <c r="O97" s="58" t="b">
        <f t="shared" si="11"/>
        <v>0</v>
      </c>
      <c r="T97" s="85">
        <f>$U$39+$B$38/100</f>
        <v>0</v>
      </c>
      <c r="U97" s="28" t="e">
        <f>$X$40</f>
        <v>#DIV/0!</v>
      </c>
    </row>
    <row r="98" spans="5:21" ht="15" x14ac:dyDescent="0.2">
      <c r="E98" s="72">
        <v>2.0000000000000102</v>
      </c>
      <c r="F98" s="73" t="e">
        <f t="shared" si="6"/>
        <v>#DIV/0!</v>
      </c>
      <c r="G98" s="73" t="e">
        <f t="shared" si="7"/>
        <v>#DIV/0!</v>
      </c>
      <c r="H98" s="73" t="e">
        <f t="shared" si="8"/>
        <v>#DIV/0!</v>
      </c>
      <c r="I98" s="73" t="e">
        <f t="shared" si="5"/>
        <v>#DIV/0!</v>
      </c>
      <c r="J98" s="73" t="e">
        <f t="shared" si="9"/>
        <v>#DIV/0!</v>
      </c>
      <c r="K98" s="73" t="e">
        <f t="shared" si="10"/>
        <v>#DIV/0!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 t="e">
        <f t="shared" si="6"/>
        <v>#DIV/0!</v>
      </c>
      <c r="G99" s="73" t="e">
        <f t="shared" si="7"/>
        <v>#DIV/0!</v>
      </c>
      <c r="H99" s="73" t="e">
        <f t="shared" si="8"/>
        <v>#DIV/0!</v>
      </c>
      <c r="I99" s="73" t="e">
        <f t="shared" si="5"/>
        <v>#DIV/0!</v>
      </c>
      <c r="J99" s="73" t="e">
        <f t="shared" si="9"/>
        <v>#DIV/0!</v>
      </c>
      <c r="K99" s="73" t="e">
        <f t="shared" si="10"/>
        <v>#DIV/0!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 t="e">
        <f t="shared" si="6"/>
        <v>#DIV/0!</v>
      </c>
      <c r="G100" s="73" t="e">
        <f t="shared" si="7"/>
        <v>#DIV/0!</v>
      </c>
      <c r="H100" s="73" t="e">
        <f t="shared" si="8"/>
        <v>#DIV/0!</v>
      </c>
      <c r="I100" s="73" t="e">
        <f t="shared" si="5"/>
        <v>#DIV/0!</v>
      </c>
      <c r="J100" s="73" t="e">
        <f t="shared" si="9"/>
        <v>#DIV/0!</v>
      </c>
      <c r="K100" s="73" t="e">
        <f t="shared" si="10"/>
        <v>#DIV/0!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 t="e">
        <f t="shared" si="6"/>
        <v>#DIV/0!</v>
      </c>
      <c r="G101" s="73" t="e">
        <f t="shared" si="7"/>
        <v>#DIV/0!</v>
      </c>
      <c r="H101" s="73" t="e">
        <f t="shared" si="8"/>
        <v>#DIV/0!</v>
      </c>
      <c r="I101" s="73" t="e">
        <f t="shared" si="5"/>
        <v>#DIV/0!</v>
      </c>
      <c r="J101" s="73" t="e">
        <f t="shared" si="9"/>
        <v>#DIV/0!</v>
      </c>
      <c r="K101" s="73" t="e">
        <f t="shared" si="10"/>
        <v>#DIV/0!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 t="e">
        <f t="shared" si="6"/>
        <v>#DIV/0!</v>
      </c>
      <c r="G102" s="73" t="e">
        <f t="shared" si="7"/>
        <v>#DIV/0!</v>
      </c>
      <c r="H102" s="73" t="e">
        <f t="shared" si="8"/>
        <v>#DIV/0!</v>
      </c>
      <c r="I102" s="73" t="e">
        <f t="shared" si="5"/>
        <v>#DIV/0!</v>
      </c>
      <c r="J102" s="73" t="e">
        <f t="shared" si="9"/>
        <v>#DIV/0!</v>
      </c>
      <c r="K102" s="73" t="e">
        <f t="shared" si="10"/>
        <v>#DIV/0!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 t="e">
        <f t="shared" si="6"/>
        <v>#DIV/0!</v>
      </c>
      <c r="G103" s="73" t="e">
        <f t="shared" si="7"/>
        <v>#DIV/0!</v>
      </c>
      <c r="H103" s="73" t="e">
        <f t="shared" si="8"/>
        <v>#DIV/0!</v>
      </c>
      <c r="I103" s="73" t="e">
        <f t="shared" si="5"/>
        <v>#DIV/0!</v>
      </c>
      <c r="J103" s="73" t="e">
        <f t="shared" si="9"/>
        <v>#DIV/0!</v>
      </c>
      <c r="K103" s="73" t="e">
        <f t="shared" si="10"/>
        <v>#DIV/0!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 t="e">
        <f t="shared" si="6"/>
        <v>#DIV/0!</v>
      </c>
      <c r="G104" s="73" t="e">
        <f t="shared" si="7"/>
        <v>#DIV/0!</v>
      </c>
      <c r="H104" s="73" t="e">
        <f t="shared" si="8"/>
        <v>#DIV/0!</v>
      </c>
      <c r="I104" s="73" t="e">
        <f t="shared" si="5"/>
        <v>#DIV/0!</v>
      </c>
      <c r="J104" s="73" t="e">
        <f t="shared" si="9"/>
        <v>#DIV/0!</v>
      </c>
      <c r="K104" s="73" t="e">
        <f t="shared" si="10"/>
        <v>#DIV/0!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 t="e">
        <f t="shared" si="6"/>
        <v>#DIV/0!</v>
      </c>
      <c r="G105" s="73" t="e">
        <f t="shared" si="7"/>
        <v>#DIV/0!</v>
      </c>
      <c r="H105" s="73" t="e">
        <f t="shared" si="8"/>
        <v>#DIV/0!</v>
      </c>
      <c r="I105" s="73" t="e">
        <f t="shared" si="5"/>
        <v>#DIV/0!</v>
      </c>
      <c r="J105" s="73" t="e">
        <f t="shared" si="9"/>
        <v>#DIV/0!</v>
      </c>
      <c r="K105" s="73" t="e">
        <f t="shared" si="10"/>
        <v>#DIV/0!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 t="e">
        <f t="shared" si="6"/>
        <v>#DIV/0!</v>
      </c>
      <c r="G106" s="73" t="e">
        <f t="shared" si="7"/>
        <v>#DIV/0!</v>
      </c>
      <c r="H106" s="73" t="e">
        <f t="shared" si="8"/>
        <v>#DIV/0!</v>
      </c>
      <c r="I106" s="73" t="e">
        <f t="shared" si="5"/>
        <v>#DIV/0!</v>
      </c>
      <c r="J106" s="73" t="e">
        <f t="shared" si="9"/>
        <v>#DIV/0!</v>
      </c>
      <c r="K106" s="73" t="e">
        <f t="shared" si="10"/>
        <v>#DIV/0!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 t="e">
        <f t="shared" si="6"/>
        <v>#DIV/0!</v>
      </c>
      <c r="G107" s="73" t="e">
        <f t="shared" si="7"/>
        <v>#DIV/0!</v>
      </c>
      <c r="H107" s="73" t="e">
        <f t="shared" si="8"/>
        <v>#DIV/0!</v>
      </c>
      <c r="I107" s="73" t="e">
        <f t="shared" si="5"/>
        <v>#DIV/0!</v>
      </c>
      <c r="J107" s="73" t="e">
        <f t="shared" si="9"/>
        <v>#DIV/0!</v>
      </c>
      <c r="K107" s="73" t="e">
        <f t="shared" si="10"/>
        <v>#DIV/0!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 t="e">
        <f t="shared" si="6"/>
        <v>#DIV/0!</v>
      </c>
      <c r="G108" s="73" t="e">
        <f t="shared" si="7"/>
        <v>#DIV/0!</v>
      </c>
      <c r="H108" s="73" t="e">
        <f t="shared" si="8"/>
        <v>#DIV/0!</v>
      </c>
      <c r="I108" s="73" t="e">
        <f t="shared" si="5"/>
        <v>#DIV/0!</v>
      </c>
      <c r="J108" s="73" t="e">
        <f t="shared" si="9"/>
        <v>#DIV/0!</v>
      </c>
      <c r="K108" s="73" t="e">
        <f t="shared" si="10"/>
        <v>#DIV/0!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 t="e">
        <f t="shared" si="6"/>
        <v>#DIV/0!</v>
      </c>
      <c r="G109" s="73" t="e">
        <f t="shared" si="7"/>
        <v>#DIV/0!</v>
      </c>
      <c r="H109" s="73" t="e">
        <f t="shared" si="8"/>
        <v>#DIV/0!</v>
      </c>
      <c r="I109" s="73" t="e">
        <f t="shared" si="5"/>
        <v>#DIV/0!</v>
      </c>
      <c r="J109" s="73" t="e">
        <f t="shared" si="9"/>
        <v>#DIV/0!</v>
      </c>
      <c r="K109" s="73" t="e">
        <f t="shared" si="10"/>
        <v>#DIV/0!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 t="e">
        <f t="shared" si="6"/>
        <v>#DIV/0!</v>
      </c>
      <c r="G110" s="73" t="e">
        <f t="shared" si="7"/>
        <v>#DIV/0!</v>
      </c>
      <c r="H110" s="73" t="e">
        <f t="shared" si="8"/>
        <v>#DIV/0!</v>
      </c>
      <c r="I110" s="73" t="e">
        <f t="shared" si="5"/>
        <v>#DIV/0!</v>
      </c>
      <c r="J110" s="73" t="e">
        <f t="shared" si="9"/>
        <v>#DIV/0!</v>
      </c>
      <c r="K110" s="73" t="e">
        <f t="shared" si="10"/>
        <v>#DIV/0!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 t="e">
        <f t="shared" si="6"/>
        <v>#DIV/0!</v>
      </c>
      <c r="G111" s="73" t="e">
        <f t="shared" si="7"/>
        <v>#DIV/0!</v>
      </c>
      <c r="H111" s="73" t="e">
        <f t="shared" si="8"/>
        <v>#DIV/0!</v>
      </c>
      <c r="I111" s="73" t="e">
        <f t="shared" si="5"/>
        <v>#DIV/0!</v>
      </c>
      <c r="J111" s="73" t="e">
        <f t="shared" si="9"/>
        <v>#DIV/0!</v>
      </c>
      <c r="K111" s="73" t="e">
        <f t="shared" si="10"/>
        <v>#DIV/0!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 t="e">
        <f t="shared" si="6"/>
        <v>#DIV/0!</v>
      </c>
      <c r="G112" s="73" t="e">
        <f t="shared" si="7"/>
        <v>#DIV/0!</v>
      </c>
      <c r="H112" s="73" t="e">
        <f t="shared" si="8"/>
        <v>#DIV/0!</v>
      </c>
      <c r="I112" s="73" t="e">
        <f t="shared" si="5"/>
        <v>#DIV/0!</v>
      </c>
      <c r="J112" s="73" t="e">
        <f t="shared" si="9"/>
        <v>#DIV/0!</v>
      </c>
      <c r="K112" s="73" t="e">
        <f t="shared" si="10"/>
        <v>#DIV/0!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 t="e">
        <f t="shared" si="6"/>
        <v>#DIV/0!</v>
      </c>
      <c r="G113" s="73" t="e">
        <f t="shared" si="7"/>
        <v>#DIV/0!</v>
      </c>
      <c r="H113" s="73" t="e">
        <f t="shared" si="8"/>
        <v>#DIV/0!</v>
      </c>
      <c r="I113" s="73" t="e">
        <f t="shared" si="5"/>
        <v>#DIV/0!</v>
      </c>
      <c r="J113" s="73" t="e">
        <f t="shared" si="9"/>
        <v>#DIV/0!</v>
      </c>
      <c r="K113" s="73" t="e">
        <f t="shared" si="10"/>
        <v>#DIV/0!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 t="e">
        <f>CORREL($N$3:$N$252,$M$3:$M$252)</f>
        <v>#DIV/0!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 t="e">
        <f>INTERCEPT($N$3:$N$252,$M$3:$M$252)</f>
        <v>#DIV/0!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 t="e">
        <f>SLOPE($N$3:$N$252,$M$3:$M$252)</f>
        <v>#DIV/0!</v>
      </c>
      <c r="H120" s="69" t="s">
        <v>50</v>
      </c>
      <c r="I120" s="79" t="b">
        <f>IF($B$9&gt;3,INDEX(XX!$C$4:$C$150,$B$9))</f>
        <v>0</v>
      </c>
      <c r="J120" s="79" t="b">
        <f>IF($B$9&gt;3,INDEX(XX!$D$4:$D$150,$B$9))</f>
        <v>0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 t="e">
        <f>IF((ABS($G$118)&gt;$I$120)*AND(ABS($G$118)&lt;$J$120),G$119+G$120*G122,0)</f>
        <v>#DIV/0!</v>
      </c>
      <c r="J122" s="79" t="e">
        <f>IF((ABS($G$118)&gt;$J$120),G$119+G$120*G122,0)</f>
        <v>#DIV/0!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0</v>
      </c>
      <c r="H123" s="11"/>
      <c r="I123" s="79" t="e">
        <f>IF((ABS($G$118)&gt;$I$120)*AND(ABS($G$118)&lt;$J$120),G$119+G$120*G123,0)</f>
        <v>#DIV/0!</v>
      </c>
      <c r="J123" s="79" t="e">
        <f>IF((ABS($G$118)&gt;$J$120),G$119+G$120*G123,0)</f>
        <v>#DIV/0!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41" sqref="M41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61" t="s">
        <v>146</v>
      </c>
      <c r="B1" s="162"/>
      <c r="C1" s="162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63"/>
      <c r="B2" s="162"/>
      <c r="C2" s="162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/>
      <c r="N3" s="57"/>
      <c r="O3" s="58" t="b">
        <f t="shared" ref="O3:O66" si="0">IF($N3&gt;0,LN($N3+$B$26))</f>
        <v>0</v>
      </c>
      <c r="T3" s="69" t="s">
        <v>109</v>
      </c>
      <c r="U3" s="82" t="e">
        <f>$B$21</f>
        <v>#DIV/0!</v>
      </c>
      <c r="V3" s="82" t="e">
        <f t="shared" ref="V3:V10" si="1">U3</f>
        <v>#DIV/0!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/>
      <c r="N4" s="57"/>
      <c r="O4" s="58" t="b">
        <f t="shared" si="0"/>
        <v>0</v>
      </c>
      <c r="T4" s="69" t="s">
        <v>111</v>
      </c>
      <c r="U4" s="82" t="e">
        <f>$B$31</f>
        <v>#DIV/0!</v>
      </c>
      <c r="V4" s="82" t="e">
        <f t="shared" si="1"/>
        <v>#DIV/0!</v>
      </c>
    </row>
    <row r="5" spans="1:24" ht="15" customHeight="1" x14ac:dyDescent="0.2">
      <c r="A5" s="97" t="s">
        <v>70</v>
      </c>
      <c r="B5" s="133" t="s">
        <v>71</v>
      </c>
      <c r="C5" s="18"/>
      <c r="D5" s="4"/>
      <c r="M5" s="56"/>
      <c r="N5" s="57"/>
      <c r="O5" s="58" t="b">
        <f t="shared" si="0"/>
        <v>0</v>
      </c>
      <c r="T5" s="69" t="s">
        <v>110</v>
      </c>
      <c r="U5" s="82" t="e">
        <f>$B$22</f>
        <v>#DIV/0!</v>
      </c>
      <c r="V5" s="82" t="e">
        <f t="shared" si="1"/>
        <v>#DIV/0!</v>
      </c>
    </row>
    <row r="6" spans="1:24" ht="15" customHeight="1" x14ac:dyDescent="0.2">
      <c r="A6" s="107" t="s">
        <v>18</v>
      </c>
      <c r="B6" s="133">
        <v>0</v>
      </c>
      <c r="C6" s="18"/>
      <c r="M6" s="56"/>
      <c r="N6" s="57"/>
      <c r="O6" s="58" t="b">
        <f t="shared" si="0"/>
        <v>0</v>
      </c>
      <c r="T6" s="69" t="s">
        <v>29</v>
      </c>
      <c r="U6" s="82" t="e">
        <f>$B$32</f>
        <v>#DIV/0!</v>
      </c>
      <c r="V6" s="82" t="e">
        <f t="shared" si="1"/>
        <v>#DIV/0!</v>
      </c>
    </row>
    <row r="7" spans="1:24" ht="15" customHeight="1" x14ac:dyDescent="0.2">
      <c r="D7" s="4"/>
      <c r="F7" s="5"/>
      <c r="M7" s="56"/>
      <c r="N7" s="57"/>
      <c r="O7" s="58" t="b">
        <f t="shared" si="0"/>
        <v>0</v>
      </c>
      <c r="T7" s="69" t="s">
        <v>31</v>
      </c>
      <c r="U7" s="82" t="e">
        <f>$C$21</f>
        <v>#DIV/0!</v>
      </c>
      <c r="V7" s="82" t="e">
        <f t="shared" si="1"/>
        <v>#DIV/0!</v>
      </c>
    </row>
    <row r="8" spans="1:24" ht="15" customHeight="1" x14ac:dyDescent="0.25">
      <c r="A8" s="140" t="s">
        <v>12</v>
      </c>
      <c r="B8" s="140"/>
      <c r="C8" s="140"/>
      <c r="D8" s="4"/>
      <c r="M8" s="56"/>
      <c r="N8" s="57"/>
      <c r="O8" s="58" t="b">
        <f t="shared" si="0"/>
        <v>0</v>
      </c>
      <c r="T8" s="69" t="s">
        <v>32</v>
      </c>
      <c r="U8" s="82" t="e">
        <f>$C$31</f>
        <v>#DIV/0!</v>
      </c>
      <c r="V8" s="82" t="e">
        <f t="shared" si="1"/>
        <v>#DIV/0!</v>
      </c>
    </row>
    <row r="9" spans="1:24" ht="15" customHeight="1" x14ac:dyDescent="0.2">
      <c r="A9" s="101" t="s">
        <v>11</v>
      </c>
      <c r="B9" s="59">
        <f>COUNT($M$3:$M252)</f>
        <v>0</v>
      </c>
      <c r="C9" s="60"/>
      <c r="D9" s="4"/>
      <c r="M9" s="56"/>
      <c r="N9" s="57"/>
      <c r="O9" s="58" t="b">
        <f t="shared" si="0"/>
        <v>0</v>
      </c>
      <c r="T9" s="69" t="s">
        <v>112</v>
      </c>
      <c r="U9" s="82" t="e">
        <f>$C$22</f>
        <v>#DIV/0!</v>
      </c>
      <c r="V9" s="82" t="e">
        <f t="shared" si="1"/>
        <v>#DIV/0!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/>
      <c r="N10" s="57"/>
      <c r="O10" s="58" t="b">
        <f t="shared" si="0"/>
        <v>0</v>
      </c>
      <c r="T10" s="69" t="s">
        <v>113</v>
      </c>
      <c r="U10" s="82" t="e">
        <f>$C$32</f>
        <v>#DIV/0!</v>
      </c>
      <c r="V10" s="82" t="e">
        <f t="shared" si="1"/>
        <v>#DIV/0!</v>
      </c>
    </row>
    <row r="11" spans="1:24" ht="15" customHeight="1" x14ac:dyDescent="0.2">
      <c r="A11" s="102" t="s">
        <v>8</v>
      </c>
      <c r="B11" s="61">
        <f>MAX($N$3:$N$252)</f>
        <v>0</v>
      </c>
      <c r="C11" s="60"/>
      <c r="D11" s="4"/>
      <c r="M11" s="56"/>
      <c r="N11" s="57"/>
      <c r="O11" s="58" t="b">
        <f t="shared" si="0"/>
        <v>0</v>
      </c>
      <c r="T11" s="69" t="s">
        <v>68</v>
      </c>
      <c r="U11" s="82" t="e">
        <f>$B$12</f>
        <v>#NUM!</v>
      </c>
      <c r="V11" s="82" t="e">
        <f>U11</f>
        <v>#NUM!</v>
      </c>
    </row>
    <row r="12" spans="1:24" ht="15" customHeight="1" x14ac:dyDescent="0.2">
      <c r="A12" s="102" t="s">
        <v>68</v>
      </c>
      <c r="B12" s="62" t="e">
        <f>MEDIAN($N$3:$N$252)</f>
        <v>#NUM!</v>
      </c>
      <c r="C12" s="50"/>
      <c r="D12" s="4"/>
      <c r="M12" s="56"/>
      <c r="N12" s="57"/>
      <c r="O12" s="58" t="b">
        <f t="shared" si="0"/>
        <v>0</v>
      </c>
    </row>
    <row r="13" spans="1:24" ht="15" customHeight="1" x14ac:dyDescent="0.2">
      <c r="A13" s="106" t="s">
        <v>69</v>
      </c>
      <c r="B13" s="20" t="e">
        <f>IF(ABS($G$118)&gt;$J$120,"&gt; 99%",IF(ABS($G$118)&gt;$I$120,"&gt; 95%","nicht signifikant"))</f>
        <v>#DIV/0!</v>
      </c>
      <c r="C13" s="50"/>
      <c r="M13" s="56"/>
      <c r="N13" s="57"/>
      <c r="O13" s="58" t="b">
        <f t="shared" si="0"/>
        <v>0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/>
      <c r="N14" s="57"/>
      <c r="O14" s="58" t="b">
        <f t="shared" si="0"/>
        <v>0</v>
      </c>
      <c r="T14" s="11"/>
      <c r="U14" s="77">
        <f>$B$36</f>
        <v>0</v>
      </c>
      <c r="V14" s="78"/>
      <c r="W14" s="79">
        <v>0</v>
      </c>
      <c r="X14" s="80" t="e">
        <f t="shared" ref="X14:X40" si="2">V14/$B$38/$B$9</f>
        <v>#DIV/0!</v>
      </c>
    </row>
    <row r="15" spans="1:24" ht="15" customHeight="1" x14ac:dyDescent="0.25">
      <c r="A15" s="140" t="s">
        <v>72</v>
      </c>
      <c r="B15" s="140"/>
      <c r="C15" s="140"/>
      <c r="D15" s="4"/>
      <c r="M15" s="56"/>
      <c r="N15" s="57"/>
      <c r="O15" s="58" t="b">
        <f t="shared" si="0"/>
        <v>0</v>
      </c>
      <c r="T15" s="69">
        <v>1</v>
      </c>
      <c r="U15" s="77">
        <f t="shared" ref="U15:U39" si="3">$B$36+T15*$B$38</f>
        <v>0</v>
      </c>
      <c r="V15" s="84">
        <f>FREQUENCY($N$3:$N$252,$U$15:$U$39)</f>
        <v>0</v>
      </c>
      <c r="W15" s="79">
        <f t="shared" ref="W15:W39" si="4">(U15+U14)/2</f>
        <v>0</v>
      </c>
      <c r="X15" s="80" t="e">
        <f t="shared" si="2"/>
        <v>#DIV/0!</v>
      </c>
    </row>
    <row r="16" spans="1:24" ht="15" customHeight="1" x14ac:dyDescent="0.2">
      <c r="A16" s="101" t="s">
        <v>73</v>
      </c>
      <c r="B16" s="63" t="e">
        <f>AVERAGE($N$3:$N$252)</f>
        <v>#DIV/0!</v>
      </c>
      <c r="C16" s="60"/>
      <c r="M16" s="56"/>
      <c r="N16" s="57"/>
      <c r="O16" s="58" t="b">
        <f t="shared" si="0"/>
        <v>0</v>
      </c>
      <c r="T16" s="69">
        <v>2</v>
      </c>
      <c r="U16" s="77">
        <f t="shared" si="3"/>
        <v>0</v>
      </c>
      <c r="V16" s="84">
        <f t="array" ref="V16:V40">FREQUENCY($N$3:$N$252,$U$15:$U$39)</f>
        <v>0</v>
      </c>
      <c r="W16" s="79">
        <f t="shared" si="4"/>
        <v>0</v>
      </c>
      <c r="X16" s="80" t="e">
        <f t="shared" si="2"/>
        <v>#DIV/0!</v>
      </c>
    </row>
    <row r="17" spans="1:24" ht="15" customHeight="1" x14ac:dyDescent="0.2">
      <c r="A17" s="102" t="s">
        <v>75</v>
      </c>
      <c r="B17" s="62" t="e">
        <f>STDEV($N$3:$N$252)</f>
        <v>#DIV/0!</v>
      </c>
      <c r="C17" s="60"/>
      <c r="D17" s="4"/>
      <c r="M17" s="56"/>
      <c r="N17" s="57"/>
      <c r="O17" s="58" t="b">
        <f t="shared" si="0"/>
        <v>0</v>
      </c>
      <c r="T17" s="69">
        <v>3</v>
      </c>
      <c r="U17" s="77">
        <f t="shared" si="3"/>
        <v>0</v>
      </c>
      <c r="V17" s="84">
        <v>0</v>
      </c>
      <c r="W17" s="79">
        <f t="shared" si="4"/>
        <v>0</v>
      </c>
      <c r="X17" s="80" t="e">
        <f t="shared" si="2"/>
        <v>#DIV/0!</v>
      </c>
    </row>
    <row r="18" spans="1:24" ht="15" customHeight="1" x14ac:dyDescent="0.2">
      <c r="A18" s="102" t="s">
        <v>92</v>
      </c>
      <c r="B18" s="24" t="e">
        <f>((NORMINV(0.83,B16,B17)-B12)-(B12-NORMINV(0.17,B16,B17)))/(NORMINV(0.83,B16,B17)-NORMINV(0.17,B16,B17))</f>
        <v>#DIV/0!</v>
      </c>
      <c r="C18" s="114" t="s">
        <v>45</v>
      </c>
      <c r="D18" s="4"/>
      <c r="J18" s="6"/>
      <c r="M18" s="56"/>
      <c r="N18" s="57"/>
      <c r="O18" s="58" t="b">
        <f t="shared" si="0"/>
        <v>0</v>
      </c>
      <c r="T18" s="69">
        <v>4</v>
      </c>
      <c r="U18" s="77">
        <f t="shared" si="3"/>
        <v>0</v>
      </c>
      <c r="V18" s="84">
        <v>0</v>
      </c>
      <c r="W18" s="79">
        <f t="shared" si="4"/>
        <v>0</v>
      </c>
      <c r="X18" s="80" t="e">
        <f t="shared" si="2"/>
        <v>#DIV/0!</v>
      </c>
    </row>
    <row r="19" spans="1:24" ht="15" customHeight="1" x14ac:dyDescent="0.25">
      <c r="A19" s="102" t="s">
        <v>25</v>
      </c>
      <c r="B19" s="20" t="e">
        <f>IF(ABS(($B$16-$B$12)/$B$16)&lt;=0.1,"gut",IF(ABS(($B$16-$B$12)/$B$16)&lt;=0.2,"mäßig","schlecht"))</f>
        <v>#DIV/0!</v>
      </c>
      <c r="C19" s="64"/>
      <c r="D19" s="4"/>
      <c r="M19" s="56"/>
      <c r="N19" s="57"/>
      <c r="O19" s="58" t="b">
        <f t="shared" si="0"/>
        <v>0</v>
      </c>
      <c r="T19" s="69">
        <v>5</v>
      </c>
      <c r="U19" s="77">
        <f t="shared" si="3"/>
        <v>0</v>
      </c>
      <c r="V19" s="84">
        <v>0</v>
      </c>
      <c r="W19" s="79">
        <f t="shared" si="4"/>
        <v>0</v>
      </c>
      <c r="X19" s="80" t="e">
        <f t="shared" si="2"/>
        <v>#DIV/0!</v>
      </c>
    </row>
    <row r="20" spans="1:24" ht="15" customHeight="1" x14ac:dyDescent="0.2">
      <c r="A20" s="102" t="s">
        <v>44</v>
      </c>
      <c r="B20" s="20" t="e">
        <f>IF(((B11-B10)/B17)&gt;INDEX(XX!$B$4:'XX'!$B$150,$B$9-3),"ja","nein")</f>
        <v>#DIV/0!</v>
      </c>
      <c r="C20" s="50"/>
      <c r="D20" s="4"/>
      <c r="J20" s="6"/>
      <c r="M20" s="56"/>
      <c r="N20" s="57"/>
      <c r="O20" s="58" t="b">
        <f t="shared" si="0"/>
        <v>0</v>
      </c>
      <c r="T20" s="69">
        <v>6</v>
      </c>
      <c r="U20" s="77">
        <f t="shared" si="3"/>
        <v>0</v>
      </c>
      <c r="V20" s="84">
        <v>0</v>
      </c>
      <c r="W20" s="79">
        <f t="shared" si="4"/>
        <v>0</v>
      </c>
      <c r="X20" s="80" t="e">
        <f t="shared" si="2"/>
        <v>#DIV/0!</v>
      </c>
    </row>
    <row r="21" spans="1:24" ht="15" customHeight="1" x14ac:dyDescent="0.2">
      <c r="A21" s="103" t="s">
        <v>76</v>
      </c>
      <c r="B21" s="62" t="e">
        <f>NORMINV(0.975,$B$16,$B$17)</f>
        <v>#DIV/0!</v>
      </c>
      <c r="C21" s="62" t="e">
        <f>NORMINV(0.025,$B$16,$B$17)</f>
        <v>#DIV/0!</v>
      </c>
      <c r="D21" s="4"/>
      <c r="M21" s="56"/>
      <c r="N21" s="57"/>
      <c r="O21" s="58" t="b">
        <f t="shared" si="0"/>
        <v>0</v>
      </c>
      <c r="T21" s="69">
        <v>7</v>
      </c>
      <c r="U21" s="77">
        <f t="shared" si="3"/>
        <v>0</v>
      </c>
      <c r="V21" s="84">
        <v>0</v>
      </c>
      <c r="W21" s="79">
        <f t="shared" si="4"/>
        <v>0</v>
      </c>
      <c r="X21" s="80" t="e">
        <f t="shared" si="2"/>
        <v>#DIV/0!</v>
      </c>
    </row>
    <row r="22" spans="1:24" ht="15" customHeight="1" x14ac:dyDescent="0.2">
      <c r="A22" s="104" t="s">
        <v>77</v>
      </c>
      <c r="B22" s="62" t="e">
        <f>NORMINV(0.99,$B$16,$B$17)</f>
        <v>#DIV/0!</v>
      </c>
      <c r="C22" s="62" t="e">
        <f>NORMINV(0.01,B16,B17)</f>
        <v>#DIV/0!</v>
      </c>
      <c r="M22" s="56"/>
      <c r="N22" s="57"/>
      <c r="O22" s="58" t="b">
        <f t="shared" si="0"/>
        <v>0</v>
      </c>
      <c r="T22" s="69">
        <v>8</v>
      </c>
      <c r="U22" s="77">
        <f t="shared" si="3"/>
        <v>0</v>
      </c>
      <c r="V22" s="84">
        <v>0</v>
      </c>
      <c r="W22" s="79">
        <f t="shared" si="4"/>
        <v>0</v>
      </c>
      <c r="X22" s="80" t="e">
        <f t="shared" si="2"/>
        <v>#DIV/0!</v>
      </c>
    </row>
    <row r="23" spans="1:24" ht="15" customHeight="1" x14ac:dyDescent="0.25">
      <c r="A23" s="112" t="s">
        <v>81</v>
      </c>
      <c r="B23" s="96" t="e">
        <f>MAX($B$22+0.5*$B$6,$B$6)</f>
        <v>#DIV/0!</v>
      </c>
      <c r="E23" s="144" t="s">
        <v>80</v>
      </c>
      <c r="F23" s="144"/>
      <c r="G23" s="144"/>
      <c r="M23" s="56"/>
      <c r="N23" s="57"/>
      <c r="O23" s="58" t="b">
        <f t="shared" si="0"/>
        <v>0</v>
      </c>
      <c r="T23" s="69">
        <v>9</v>
      </c>
      <c r="U23" s="77">
        <f t="shared" si="3"/>
        <v>0</v>
      </c>
      <c r="V23" s="84">
        <v>0</v>
      </c>
      <c r="W23" s="79">
        <f t="shared" si="4"/>
        <v>0</v>
      </c>
      <c r="X23" s="80" t="e">
        <f t="shared" si="2"/>
        <v>#DIV/0!</v>
      </c>
    </row>
    <row r="24" spans="1:24" ht="15" customHeight="1" x14ac:dyDescent="0.2">
      <c r="M24" s="56"/>
      <c r="N24" s="57"/>
      <c r="O24" s="58" t="b">
        <f t="shared" si="0"/>
        <v>0</v>
      </c>
      <c r="T24" s="69">
        <v>10</v>
      </c>
      <c r="U24" s="77">
        <f t="shared" si="3"/>
        <v>0</v>
      </c>
      <c r="V24" s="84">
        <v>0</v>
      </c>
      <c r="W24" s="79">
        <f t="shared" si="4"/>
        <v>0</v>
      </c>
      <c r="X24" s="80" t="e">
        <f t="shared" si="2"/>
        <v>#DIV/0!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/>
      <c r="N25" s="57"/>
      <c r="O25" s="58" t="b">
        <f t="shared" si="0"/>
        <v>0</v>
      </c>
      <c r="Q25" s="75" t="s">
        <v>68</v>
      </c>
      <c r="R25" s="75" t="e">
        <f>MEDIAN($O$3:$O$252)</f>
        <v>#NUM!</v>
      </c>
      <c r="T25" s="69">
        <v>11</v>
      </c>
      <c r="U25" s="77">
        <f t="shared" si="3"/>
        <v>0</v>
      </c>
      <c r="V25" s="84">
        <v>0</v>
      </c>
      <c r="W25" s="79">
        <f t="shared" si="4"/>
        <v>0</v>
      </c>
      <c r="X25" s="80" t="e">
        <f t="shared" si="2"/>
        <v>#DIV/0!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/>
      <c r="N26" s="57"/>
      <c r="O26" s="58" t="b">
        <f t="shared" si="0"/>
        <v>0</v>
      </c>
      <c r="Q26" s="75" t="s">
        <v>73</v>
      </c>
      <c r="R26" s="75" t="e">
        <f>AVERAGE($O$3:$O$252)</f>
        <v>#DIV/0!</v>
      </c>
      <c r="T26" s="69">
        <v>12</v>
      </c>
      <c r="U26" s="77">
        <f t="shared" si="3"/>
        <v>0</v>
      </c>
      <c r="V26" s="84">
        <v>0</v>
      </c>
      <c r="W26" s="79">
        <f t="shared" si="4"/>
        <v>0</v>
      </c>
      <c r="X26" s="80" t="e">
        <f t="shared" si="2"/>
        <v>#DIV/0!</v>
      </c>
    </row>
    <row r="27" spans="1:24" ht="15" customHeight="1" x14ac:dyDescent="0.2">
      <c r="A27" s="65" t="s">
        <v>17</v>
      </c>
      <c r="B27" s="62" t="e">
        <f>EXP($R$26)</f>
        <v>#DIV/0!</v>
      </c>
      <c r="C27" s="62"/>
      <c r="E27" s="7" t="e">
        <f>STDEV(C50:C199)</f>
        <v>#DIV/0!</v>
      </c>
      <c r="F27" s="7" t="e">
        <f>NORMINV(0.025,$E26,$E27)</f>
        <v>#DIV/0!</v>
      </c>
      <c r="M27" s="56"/>
      <c r="N27" s="57"/>
      <c r="O27" s="58" t="b">
        <f t="shared" si="0"/>
        <v>0</v>
      </c>
      <c r="Q27" s="75" t="s">
        <v>104</v>
      </c>
      <c r="R27" s="75" t="e">
        <f>STDEV($O$3:$O$252)</f>
        <v>#DIV/0!</v>
      </c>
      <c r="T27" s="69">
        <v>13</v>
      </c>
      <c r="U27" s="77">
        <f t="shared" si="3"/>
        <v>0</v>
      </c>
      <c r="V27" s="84">
        <v>0</v>
      </c>
      <c r="W27" s="79">
        <f t="shared" si="4"/>
        <v>0</v>
      </c>
      <c r="X27" s="80" t="e">
        <f t="shared" si="2"/>
        <v>#DIV/0!</v>
      </c>
    </row>
    <row r="28" spans="1:24" ht="15" customHeight="1" x14ac:dyDescent="0.2">
      <c r="A28" s="65" t="s">
        <v>92</v>
      </c>
      <c r="B28" s="24" t="e">
        <f>((NORMINV(0.83,$R$26,$R$27)-$R25)-($R$25-NORMINV(0.17,$R$26,$R$27)))/(NORMINV(0.83,$R$26,$R$27)-NORMINV(0.17,$R$26,$R$27))</f>
        <v>#DIV/0!</v>
      </c>
      <c r="C28" s="115" t="s">
        <v>45</v>
      </c>
      <c r="F28" s="7" t="e">
        <f>NORMINV(0.01,$E$26,$E$27)</f>
        <v>#DIV/0!</v>
      </c>
      <c r="M28" s="56"/>
      <c r="N28" s="57"/>
      <c r="O28" s="58" t="b">
        <f t="shared" si="0"/>
        <v>0</v>
      </c>
      <c r="Q28" s="75" t="s">
        <v>108</v>
      </c>
      <c r="R28" s="75" t="e">
        <f>NORMINV(0.025,$R$26,$R$27)</f>
        <v>#DIV/0!</v>
      </c>
      <c r="T28" s="69">
        <v>14</v>
      </c>
      <c r="U28" s="77">
        <f t="shared" si="3"/>
        <v>0</v>
      </c>
      <c r="V28" s="84">
        <v>0</v>
      </c>
      <c r="W28" s="79">
        <f t="shared" si="4"/>
        <v>0</v>
      </c>
      <c r="X28" s="80" t="e">
        <f t="shared" si="2"/>
        <v>#DIV/0!</v>
      </c>
    </row>
    <row r="29" spans="1:24" ht="15" customHeight="1" x14ac:dyDescent="0.2">
      <c r="A29" s="65" t="s">
        <v>25</v>
      </c>
      <c r="B29" s="62" t="e">
        <f>IF(ABS(($R26-$R$25)/$R$26)&lt;=0.1,"gut",IF(ABS(($R$26-$R$25)/$R$26)&lt;=0.2,"mäßig","schlecht"))</f>
        <v>#DIV/0!</v>
      </c>
      <c r="C29" s="62"/>
      <c r="M29" s="56"/>
      <c r="N29" s="57"/>
      <c r="O29" s="58" t="b">
        <f t="shared" si="0"/>
        <v>0</v>
      </c>
      <c r="Q29" s="75" t="s">
        <v>107</v>
      </c>
      <c r="R29" s="75" t="e">
        <f>NORMINV(0.01,$R$26,$R$27)</f>
        <v>#DIV/0!</v>
      </c>
      <c r="T29" s="69">
        <v>15</v>
      </c>
      <c r="U29" s="77">
        <f t="shared" si="3"/>
        <v>0</v>
      </c>
      <c r="V29" s="84">
        <v>0</v>
      </c>
      <c r="W29" s="79">
        <f t="shared" si="4"/>
        <v>0</v>
      </c>
      <c r="X29" s="80" t="e">
        <f t="shared" si="2"/>
        <v>#DIV/0!</v>
      </c>
    </row>
    <row r="30" spans="1:24" ht="15" customHeight="1" x14ac:dyDescent="0.2">
      <c r="A30" s="65" t="s">
        <v>44</v>
      </c>
      <c r="B30" s="62" t="e">
        <f>IF(((MAX($N$3:$N$252)-MIN($O$3:$O$252))/$R$27)&gt;INDEX(XX!$B$4:$B$150,$B$9-3),"ja","nein")</f>
        <v>#DIV/0!</v>
      </c>
      <c r="C30" s="62"/>
      <c r="E30" s="7" t="e">
        <f>NORMINV(0.95,$E26,$E27)</f>
        <v>#DIV/0!</v>
      </c>
      <c r="M30" s="56"/>
      <c r="N30" s="57"/>
      <c r="O30" s="58" t="b">
        <f t="shared" si="0"/>
        <v>0</v>
      </c>
      <c r="Q30" s="75" t="s">
        <v>105</v>
      </c>
      <c r="R30" s="75" t="e">
        <f>NORMINV(0.95,$R$26,$R$27)</f>
        <v>#DIV/0!</v>
      </c>
      <c r="T30" s="69">
        <v>16</v>
      </c>
      <c r="U30" s="77">
        <f t="shared" si="3"/>
        <v>0</v>
      </c>
      <c r="V30" s="84">
        <v>0</v>
      </c>
      <c r="W30" s="79">
        <f t="shared" si="4"/>
        <v>0</v>
      </c>
      <c r="X30" s="80" t="e">
        <f t="shared" si="2"/>
        <v>#DIV/0!</v>
      </c>
    </row>
    <row r="31" spans="1:24" ht="15" customHeight="1" x14ac:dyDescent="0.2">
      <c r="A31" s="65" t="s">
        <v>98</v>
      </c>
      <c r="B31" s="62" t="e">
        <f>EXP($R30)-$B$26</f>
        <v>#DIV/0!</v>
      </c>
      <c r="C31" s="62" t="e">
        <f>NORMINV(0.025,$R$26,$R$27)</f>
        <v>#DIV/0!</v>
      </c>
      <c r="E31" s="7" t="e">
        <f>NORMINV(0.98,$E$26,$E$27)</f>
        <v>#DIV/0!</v>
      </c>
      <c r="M31" s="56"/>
      <c r="N31" s="57"/>
      <c r="O31" s="58" t="b">
        <f t="shared" si="0"/>
        <v>0</v>
      </c>
      <c r="Q31" s="75" t="s">
        <v>106</v>
      </c>
      <c r="R31" s="75" t="e">
        <f>NORMINV(0.98,$R$26,$R$27)</f>
        <v>#DIV/0!</v>
      </c>
      <c r="T31" s="69">
        <v>17</v>
      </c>
      <c r="U31" s="77">
        <f t="shared" si="3"/>
        <v>0</v>
      </c>
      <c r="V31" s="84">
        <v>0</v>
      </c>
      <c r="W31" s="79">
        <f t="shared" si="4"/>
        <v>0</v>
      </c>
      <c r="X31" s="80" t="e">
        <f t="shared" si="2"/>
        <v>#DIV/0!</v>
      </c>
    </row>
    <row r="32" spans="1:24" ht="15" customHeight="1" x14ac:dyDescent="0.2">
      <c r="A32" s="65" t="s">
        <v>86</v>
      </c>
      <c r="B32" s="62" t="e">
        <f>EXP($R$31)-$B$26</f>
        <v>#DIV/0!</v>
      </c>
      <c r="C32" s="62" t="e">
        <f>NORMINV(0.01,$R$26,$R$27)</f>
        <v>#DIV/0!</v>
      </c>
      <c r="M32" s="56"/>
      <c r="N32" s="57"/>
      <c r="O32" s="58" t="b">
        <f t="shared" si="0"/>
        <v>0</v>
      </c>
      <c r="T32" s="69">
        <v>18</v>
      </c>
      <c r="U32" s="77">
        <f t="shared" si="3"/>
        <v>0</v>
      </c>
      <c r="V32" s="84">
        <v>0</v>
      </c>
      <c r="W32" s="79">
        <f t="shared" si="4"/>
        <v>0</v>
      </c>
      <c r="X32" s="80" t="e">
        <f t="shared" si="2"/>
        <v>#DIV/0!</v>
      </c>
    </row>
    <row r="33" spans="1:24" ht="15" customHeight="1" x14ac:dyDescent="0.25">
      <c r="A33" s="112" t="s">
        <v>81</v>
      </c>
      <c r="B33" s="113" t="e">
        <f>MAX($B$32+0.5*$B$6,B6)</f>
        <v>#DIV/0!</v>
      </c>
      <c r="M33" s="56"/>
      <c r="N33" s="57"/>
      <c r="O33" s="58" t="b">
        <f t="shared" si="0"/>
        <v>0</v>
      </c>
      <c r="T33" s="69">
        <v>19</v>
      </c>
      <c r="U33" s="77">
        <f t="shared" si="3"/>
        <v>0</v>
      </c>
      <c r="V33" s="84">
        <v>0</v>
      </c>
      <c r="W33" s="79">
        <f t="shared" si="4"/>
        <v>0</v>
      </c>
      <c r="X33" s="80" t="e">
        <f t="shared" si="2"/>
        <v>#DIV/0!</v>
      </c>
    </row>
    <row r="34" spans="1:24" ht="15" customHeight="1" x14ac:dyDescent="0.2">
      <c r="M34" s="56"/>
      <c r="N34" s="57"/>
      <c r="O34" s="58" t="b">
        <f t="shared" si="0"/>
        <v>0</v>
      </c>
      <c r="T34" s="69">
        <v>20</v>
      </c>
      <c r="U34" s="77">
        <f t="shared" si="3"/>
        <v>0</v>
      </c>
      <c r="V34" s="84">
        <v>0</v>
      </c>
      <c r="W34" s="79">
        <f t="shared" si="4"/>
        <v>0</v>
      </c>
      <c r="X34" s="80" t="e">
        <f t="shared" si="2"/>
        <v>#DIV/0!</v>
      </c>
    </row>
    <row r="35" spans="1:24" ht="15" customHeight="1" x14ac:dyDescent="0.25">
      <c r="A35" s="140" t="s">
        <v>78</v>
      </c>
      <c r="B35" s="140"/>
      <c r="C35" s="140"/>
      <c r="M35" s="56"/>
      <c r="N35" s="57"/>
      <c r="O35" s="58" t="b">
        <f t="shared" si="0"/>
        <v>0</v>
      </c>
      <c r="T35" s="69">
        <v>21</v>
      </c>
      <c r="U35" s="77">
        <f t="shared" si="3"/>
        <v>0</v>
      </c>
      <c r="V35" s="84">
        <v>0</v>
      </c>
      <c r="W35" s="79">
        <f t="shared" si="4"/>
        <v>0</v>
      </c>
      <c r="X35" s="80" t="e">
        <f t="shared" si="2"/>
        <v>#DIV/0!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/>
      <c r="N36" s="57"/>
      <c r="O36" s="58" t="b">
        <f t="shared" si="0"/>
        <v>0</v>
      </c>
      <c r="T36" s="69">
        <v>22</v>
      </c>
      <c r="U36" s="77">
        <f t="shared" si="3"/>
        <v>0</v>
      </c>
      <c r="V36" s="84">
        <v>0</v>
      </c>
      <c r="W36" s="79">
        <f t="shared" si="4"/>
        <v>0</v>
      </c>
      <c r="X36" s="80" t="e">
        <f t="shared" si="2"/>
        <v>#DIV/0!</v>
      </c>
    </row>
    <row r="37" spans="1:24" ht="15.75" x14ac:dyDescent="0.25">
      <c r="A37" s="103" t="s">
        <v>8</v>
      </c>
      <c r="B37" s="52">
        <f>1.05*B11</f>
        <v>0</v>
      </c>
      <c r="D37" s="8"/>
      <c r="E37" s="8"/>
      <c r="M37" s="56"/>
      <c r="N37" s="57"/>
      <c r="O37" s="58" t="b">
        <f t="shared" si="0"/>
        <v>0</v>
      </c>
      <c r="T37" s="69">
        <v>23</v>
      </c>
      <c r="U37" s="77">
        <f t="shared" si="3"/>
        <v>0</v>
      </c>
      <c r="V37" s="84">
        <v>0</v>
      </c>
      <c r="W37" s="79">
        <f t="shared" si="4"/>
        <v>0</v>
      </c>
      <c r="X37" s="80" t="e">
        <f t="shared" si="2"/>
        <v>#DIV/0!</v>
      </c>
    </row>
    <row r="38" spans="1:24" ht="15" x14ac:dyDescent="0.2">
      <c r="A38" s="104" t="s">
        <v>19</v>
      </c>
      <c r="B38" s="53">
        <f>($B$37-$B$36)/25</f>
        <v>0</v>
      </c>
      <c r="M38" s="56"/>
      <c r="N38" s="57"/>
      <c r="O38" s="58" t="b">
        <f t="shared" si="0"/>
        <v>0</v>
      </c>
      <c r="T38" s="69">
        <v>24</v>
      </c>
      <c r="U38" s="77">
        <f t="shared" si="3"/>
        <v>0</v>
      </c>
      <c r="V38" s="84">
        <v>0</v>
      </c>
      <c r="W38" s="79">
        <f t="shared" si="4"/>
        <v>0</v>
      </c>
      <c r="X38" s="80" t="e">
        <f t="shared" si="2"/>
        <v>#DIV/0!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0</v>
      </c>
      <c r="V39" s="84">
        <v>0</v>
      </c>
      <c r="W39" s="79">
        <f t="shared" si="4"/>
        <v>0</v>
      </c>
      <c r="X39" s="80" t="e">
        <f t="shared" si="2"/>
        <v>#DIV/0!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 t="e">
        <f t="shared" si="2"/>
        <v>#DIV/0!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0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0</v>
      </c>
      <c r="U47" s="28" t="e">
        <f>$X$15</f>
        <v>#DIV/0!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</v>
      </c>
      <c r="U48" s="28" t="e">
        <f>$X$15</f>
        <v>#DIV/0!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</v>
      </c>
      <c r="U49" s="28" t="e">
        <f>$X$16</f>
        <v>#DIV/0!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0</v>
      </c>
      <c r="U50" s="28" t="e">
        <f>$X$16</f>
        <v>#DIV/0!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0</v>
      </c>
      <c r="U51" s="28" t="e">
        <f>$X$17</f>
        <v>#DIV/0!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0</v>
      </c>
      <c r="U52" s="28" t="e">
        <f>$X$17</f>
        <v>#DIV/0!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0</v>
      </c>
      <c r="U53" s="28" t="e">
        <f>$X$18</f>
        <v>#DIV/0!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0</v>
      </c>
      <c r="U54" s="28" t="e">
        <f>$X$18</f>
        <v>#DIV/0!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0</v>
      </c>
      <c r="U55" s="28" t="e">
        <f>$X$19</f>
        <v>#DIV/0!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0</v>
      </c>
      <c r="U56" s="28" t="e">
        <f>$X$19</f>
        <v>#DIV/0!</v>
      </c>
    </row>
    <row r="57" spans="5:21" ht="15" x14ac:dyDescent="0.2">
      <c r="E57" s="70">
        <v>36161</v>
      </c>
      <c r="F57" s="74" t="e">
        <f>$B$21</f>
        <v>#DIV/0!</v>
      </c>
      <c r="G57" s="74" t="e">
        <f>$C$21</f>
        <v>#DIV/0!</v>
      </c>
      <c r="H57" s="74" t="e">
        <f>$B$22</f>
        <v>#DIV/0!</v>
      </c>
      <c r="I57" s="74" t="e">
        <f>$C$22</f>
        <v>#DIV/0!</v>
      </c>
      <c r="J57" s="74" t="e">
        <f>$B$31</f>
        <v>#DIV/0!</v>
      </c>
      <c r="K57" s="74" t="e">
        <f>$B$32</f>
        <v>#DIV/0!</v>
      </c>
      <c r="M57" s="56"/>
      <c r="N57" s="57"/>
      <c r="O57" s="58" t="b">
        <f t="shared" si="0"/>
        <v>0</v>
      </c>
      <c r="T57" s="85">
        <f>$U$19+$B$38/100</f>
        <v>0</v>
      </c>
      <c r="U57" s="28" t="e">
        <f>$X$20</f>
        <v>#DIV/0!</v>
      </c>
    </row>
    <row r="58" spans="5:21" ht="15" x14ac:dyDescent="0.2">
      <c r="E58" s="70">
        <v>44196</v>
      </c>
      <c r="F58" s="74" t="e">
        <f>$B$21</f>
        <v>#DIV/0!</v>
      </c>
      <c r="G58" s="74" t="e">
        <f>$C$21</f>
        <v>#DIV/0!</v>
      </c>
      <c r="H58" s="74" t="e">
        <f>$B$22</f>
        <v>#DIV/0!</v>
      </c>
      <c r="I58" s="74" t="e">
        <f>$C$22</f>
        <v>#DIV/0!</v>
      </c>
      <c r="J58" s="74" t="e">
        <f>$B$31</f>
        <v>#DIV/0!</v>
      </c>
      <c r="K58" s="74" t="e">
        <f>$B$32</f>
        <v>#DIV/0!</v>
      </c>
      <c r="M58" s="56"/>
      <c r="N58" s="57"/>
      <c r="O58" s="58" t="b">
        <f t="shared" si="0"/>
        <v>0</v>
      </c>
      <c r="T58" s="85">
        <f>$U$20-$B$38/100</f>
        <v>0</v>
      </c>
      <c r="U58" s="28" t="e">
        <f>$X$20</f>
        <v>#DIV/0!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0</v>
      </c>
      <c r="U59" s="28" t="e">
        <f>$X$21</f>
        <v>#DIV/0!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0</v>
      </c>
      <c r="U60" s="28" t="e">
        <f>$X$21</f>
        <v>#DIV/0!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0</v>
      </c>
      <c r="U61" s="28" t="e">
        <f>$X$22</f>
        <v>#DIV/0!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0</v>
      </c>
      <c r="U62" s="28" t="e">
        <f>$X$22</f>
        <v>#DIV/0!</v>
      </c>
    </row>
    <row r="63" spans="5:21" ht="15" x14ac:dyDescent="0.2">
      <c r="E63" s="72">
        <v>-5</v>
      </c>
      <c r="F63" s="73" t="e">
        <f>$B$16+$E63*$B$17</f>
        <v>#DIV/0!</v>
      </c>
      <c r="G63" s="73" t="e">
        <f>NORMDIST($F63,$B$16,$B$17,FALSE)</f>
        <v>#DIV/0!</v>
      </c>
      <c r="H63" s="73" t="e">
        <f>EXP($R$26+$E63*$R$27)</f>
        <v>#DIV/0!</v>
      </c>
      <c r="I63" s="73" t="e">
        <f t="shared" ref="I63:I113" si="5">H63-$B$26</f>
        <v>#DIV/0!</v>
      </c>
      <c r="J63" s="73" t="e">
        <f>1/$H63/SQRT(2*PI())/$R$27*EXP(-POWER(LN($H63)-$R$26,2)/2/POWER($R$27,2))</f>
        <v>#DIV/0!</v>
      </c>
      <c r="K63" s="73" t="e">
        <f>LOGNORMDIST($H63,$R$26,$R$27)</f>
        <v>#DIV/0!</v>
      </c>
      <c r="M63" s="56"/>
      <c r="N63" s="57"/>
      <c r="O63" s="58" t="b">
        <f t="shared" si="0"/>
        <v>0</v>
      </c>
      <c r="T63" s="85">
        <f>$U$22+$B$38/100</f>
        <v>0</v>
      </c>
      <c r="U63" s="28" t="e">
        <f>$X$23</f>
        <v>#DIV/0!</v>
      </c>
    </row>
    <row r="64" spans="5:21" ht="15" x14ac:dyDescent="0.2">
      <c r="E64" s="72">
        <v>-4.8</v>
      </c>
      <c r="F64" s="73" t="e">
        <f t="shared" ref="F64:F113" si="6">$B$16+$E64*$B$17</f>
        <v>#DIV/0!</v>
      </c>
      <c r="G64" s="73" t="e">
        <f t="shared" ref="G64:G113" si="7">NORMDIST($F64,$B$16,$B$17,FALSE)</f>
        <v>#DIV/0!</v>
      </c>
      <c r="H64" s="73" t="e">
        <f t="shared" ref="H64:H113" si="8">EXP($R$26+$E64*$R$27)</f>
        <v>#DIV/0!</v>
      </c>
      <c r="I64" s="73" t="e">
        <f t="shared" si="5"/>
        <v>#DIV/0!</v>
      </c>
      <c r="J64" s="73" t="e">
        <f t="shared" ref="J64:J113" si="9">1/$H64/SQRT(2*PI())/$R$27*EXP(-POWER(LN($H64)-$R$26,2)/2/POWER($R$27,2))</f>
        <v>#DIV/0!</v>
      </c>
      <c r="K64" s="73" t="e">
        <f t="shared" ref="K64:K113" si="10">LOGNORMDIST($H64,$R$26,$R$27)</f>
        <v>#DIV/0!</v>
      </c>
      <c r="M64" s="56"/>
      <c r="N64" s="57"/>
      <c r="O64" s="58" t="b">
        <f t="shared" si="0"/>
        <v>0</v>
      </c>
      <c r="T64" s="85">
        <f>$U$23-$B$38/100</f>
        <v>0</v>
      </c>
      <c r="U64" s="28" t="e">
        <f>$X$23</f>
        <v>#DIV/0!</v>
      </c>
    </row>
    <row r="65" spans="5:21" ht="15" x14ac:dyDescent="0.2">
      <c r="E65" s="72">
        <v>-4.5999999999999996</v>
      </c>
      <c r="F65" s="73" t="e">
        <f t="shared" si="6"/>
        <v>#DIV/0!</v>
      </c>
      <c r="G65" s="73" t="e">
        <f t="shared" si="7"/>
        <v>#DIV/0!</v>
      </c>
      <c r="H65" s="73" t="e">
        <f t="shared" si="8"/>
        <v>#DIV/0!</v>
      </c>
      <c r="I65" s="73" t="e">
        <f t="shared" si="5"/>
        <v>#DIV/0!</v>
      </c>
      <c r="J65" s="73" t="e">
        <f t="shared" si="9"/>
        <v>#DIV/0!</v>
      </c>
      <c r="K65" s="73" t="e">
        <f t="shared" si="10"/>
        <v>#DIV/0!</v>
      </c>
      <c r="M65" s="56"/>
      <c r="N65" s="57"/>
      <c r="O65" s="58" t="b">
        <f t="shared" si="0"/>
        <v>0</v>
      </c>
      <c r="T65" s="85">
        <f>$U$23+$B$38/100</f>
        <v>0</v>
      </c>
      <c r="U65" s="28" t="e">
        <f>$X$24</f>
        <v>#DIV/0!</v>
      </c>
    </row>
    <row r="66" spans="5:21" ht="15" x14ac:dyDescent="0.2">
      <c r="E66" s="72">
        <v>-4.4000000000000004</v>
      </c>
      <c r="F66" s="73" t="e">
        <f t="shared" si="6"/>
        <v>#DIV/0!</v>
      </c>
      <c r="G66" s="73" t="e">
        <f t="shared" si="7"/>
        <v>#DIV/0!</v>
      </c>
      <c r="H66" s="73" t="e">
        <f t="shared" si="8"/>
        <v>#DIV/0!</v>
      </c>
      <c r="I66" s="73" t="e">
        <f t="shared" si="5"/>
        <v>#DIV/0!</v>
      </c>
      <c r="J66" s="73" t="e">
        <f t="shared" si="9"/>
        <v>#DIV/0!</v>
      </c>
      <c r="K66" s="73" t="e">
        <f t="shared" si="10"/>
        <v>#DIV/0!</v>
      </c>
      <c r="M66" s="56"/>
      <c r="N66" s="57"/>
      <c r="O66" s="58" t="b">
        <f t="shared" si="0"/>
        <v>0</v>
      </c>
      <c r="T66" s="85">
        <f>$U$24-$B$38/100</f>
        <v>0</v>
      </c>
      <c r="U66" s="28" t="e">
        <f>$X$24</f>
        <v>#DIV/0!</v>
      </c>
    </row>
    <row r="67" spans="5:21" ht="15" x14ac:dyDescent="0.2">
      <c r="E67" s="72">
        <v>-4.2</v>
      </c>
      <c r="F67" s="73" t="e">
        <f t="shared" si="6"/>
        <v>#DIV/0!</v>
      </c>
      <c r="G67" s="73" t="e">
        <f t="shared" si="7"/>
        <v>#DIV/0!</v>
      </c>
      <c r="H67" s="73" t="e">
        <f t="shared" si="8"/>
        <v>#DIV/0!</v>
      </c>
      <c r="I67" s="73" t="e">
        <f t="shared" si="5"/>
        <v>#DIV/0!</v>
      </c>
      <c r="J67" s="73" t="e">
        <f t="shared" si="9"/>
        <v>#DIV/0!</v>
      </c>
      <c r="K67" s="73" t="e">
        <f t="shared" si="10"/>
        <v>#DIV/0!</v>
      </c>
      <c r="M67" s="56"/>
      <c r="N67" s="57"/>
      <c r="O67" s="58" t="b">
        <f t="shared" ref="O67:O130" si="11">IF($N67&gt;0,LN($N67+$B$26))</f>
        <v>0</v>
      </c>
      <c r="T67" s="85">
        <f>$U$24+$B$38/100</f>
        <v>0</v>
      </c>
      <c r="U67" s="28" t="e">
        <f>$X$25</f>
        <v>#DIV/0!</v>
      </c>
    </row>
    <row r="68" spans="5:21" ht="15" x14ac:dyDescent="0.2">
      <c r="E68" s="72">
        <v>-4</v>
      </c>
      <c r="F68" s="73" t="e">
        <f t="shared" si="6"/>
        <v>#DIV/0!</v>
      </c>
      <c r="G68" s="73" t="e">
        <f t="shared" si="7"/>
        <v>#DIV/0!</v>
      </c>
      <c r="H68" s="73" t="e">
        <f t="shared" si="8"/>
        <v>#DIV/0!</v>
      </c>
      <c r="I68" s="73" t="e">
        <f t="shared" si="5"/>
        <v>#DIV/0!</v>
      </c>
      <c r="J68" s="73" t="e">
        <f t="shared" si="9"/>
        <v>#DIV/0!</v>
      </c>
      <c r="K68" s="73" t="e">
        <f t="shared" si="10"/>
        <v>#DIV/0!</v>
      </c>
      <c r="M68" s="56"/>
      <c r="N68" s="57"/>
      <c r="O68" s="58" t="b">
        <f t="shared" si="11"/>
        <v>0</v>
      </c>
      <c r="T68" s="85">
        <f>$U$25-$B$38/100</f>
        <v>0</v>
      </c>
      <c r="U68" s="28" t="e">
        <f>$X$25</f>
        <v>#DIV/0!</v>
      </c>
    </row>
    <row r="69" spans="5:21" ht="15" x14ac:dyDescent="0.2">
      <c r="E69" s="72">
        <v>-3.8</v>
      </c>
      <c r="F69" s="73" t="e">
        <f t="shared" si="6"/>
        <v>#DIV/0!</v>
      </c>
      <c r="G69" s="73" t="e">
        <f t="shared" si="7"/>
        <v>#DIV/0!</v>
      </c>
      <c r="H69" s="73" t="e">
        <f t="shared" si="8"/>
        <v>#DIV/0!</v>
      </c>
      <c r="I69" s="73" t="e">
        <f t="shared" si="5"/>
        <v>#DIV/0!</v>
      </c>
      <c r="J69" s="73" t="e">
        <f t="shared" si="9"/>
        <v>#DIV/0!</v>
      </c>
      <c r="K69" s="73" t="e">
        <f t="shared" si="10"/>
        <v>#DIV/0!</v>
      </c>
      <c r="M69" s="56"/>
      <c r="N69" s="57"/>
      <c r="O69" s="58" t="b">
        <f t="shared" si="11"/>
        <v>0</v>
      </c>
      <c r="T69" s="85">
        <f>$U$25+$B$38/100</f>
        <v>0</v>
      </c>
      <c r="U69" s="28" t="e">
        <f>$X$26</f>
        <v>#DIV/0!</v>
      </c>
    </row>
    <row r="70" spans="5:21" ht="15" x14ac:dyDescent="0.2">
      <c r="E70" s="72">
        <v>-3.6</v>
      </c>
      <c r="F70" s="73" t="e">
        <f t="shared" si="6"/>
        <v>#DIV/0!</v>
      </c>
      <c r="G70" s="73" t="e">
        <f t="shared" si="7"/>
        <v>#DIV/0!</v>
      </c>
      <c r="H70" s="73" t="e">
        <f t="shared" si="8"/>
        <v>#DIV/0!</v>
      </c>
      <c r="I70" s="73" t="e">
        <f t="shared" si="5"/>
        <v>#DIV/0!</v>
      </c>
      <c r="J70" s="73" t="e">
        <f t="shared" si="9"/>
        <v>#DIV/0!</v>
      </c>
      <c r="K70" s="73" t="e">
        <f t="shared" si="10"/>
        <v>#DIV/0!</v>
      </c>
      <c r="M70" s="56"/>
      <c r="N70" s="57"/>
      <c r="O70" s="58" t="b">
        <f t="shared" si="11"/>
        <v>0</v>
      </c>
      <c r="T70" s="85">
        <f>$U$26-$B$38/100</f>
        <v>0</v>
      </c>
      <c r="U70" s="28" t="e">
        <f>$X$26</f>
        <v>#DIV/0!</v>
      </c>
    </row>
    <row r="71" spans="5:21" ht="15" x14ac:dyDescent="0.2">
      <c r="E71" s="72">
        <v>-3.4</v>
      </c>
      <c r="F71" s="73" t="e">
        <f t="shared" si="6"/>
        <v>#DIV/0!</v>
      </c>
      <c r="G71" s="73" t="e">
        <f t="shared" si="7"/>
        <v>#DIV/0!</v>
      </c>
      <c r="H71" s="73" t="e">
        <f t="shared" si="8"/>
        <v>#DIV/0!</v>
      </c>
      <c r="I71" s="73" t="e">
        <f t="shared" si="5"/>
        <v>#DIV/0!</v>
      </c>
      <c r="J71" s="73" t="e">
        <f t="shared" si="9"/>
        <v>#DIV/0!</v>
      </c>
      <c r="K71" s="73" t="e">
        <f t="shared" si="10"/>
        <v>#DIV/0!</v>
      </c>
      <c r="M71" s="56"/>
      <c r="N71" s="57"/>
      <c r="O71" s="58" t="b">
        <f t="shared" si="11"/>
        <v>0</v>
      </c>
      <c r="T71" s="85">
        <f>$U$26+$B$38/100</f>
        <v>0</v>
      </c>
      <c r="U71" s="28" t="e">
        <f>$X$27</f>
        <v>#DIV/0!</v>
      </c>
    </row>
    <row r="72" spans="5:21" ht="15" x14ac:dyDescent="0.2">
      <c r="E72" s="72">
        <v>-3.2</v>
      </c>
      <c r="F72" s="73" t="e">
        <f t="shared" si="6"/>
        <v>#DIV/0!</v>
      </c>
      <c r="G72" s="73" t="e">
        <f t="shared" si="7"/>
        <v>#DIV/0!</v>
      </c>
      <c r="H72" s="73" t="e">
        <f t="shared" si="8"/>
        <v>#DIV/0!</v>
      </c>
      <c r="I72" s="73" t="e">
        <f t="shared" si="5"/>
        <v>#DIV/0!</v>
      </c>
      <c r="J72" s="73" t="e">
        <f t="shared" si="9"/>
        <v>#DIV/0!</v>
      </c>
      <c r="K72" s="73" t="e">
        <f t="shared" si="10"/>
        <v>#DIV/0!</v>
      </c>
      <c r="M72" s="56"/>
      <c r="N72" s="57"/>
      <c r="O72" s="58" t="b">
        <f t="shared" si="11"/>
        <v>0</v>
      </c>
      <c r="T72" s="85">
        <f>$U$27-$B$38/100</f>
        <v>0</v>
      </c>
      <c r="U72" s="28" t="e">
        <f>$X$27</f>
        <v>#DIV/0!</v>
      </c>
    </row>
    <row r="73" spans="5:21" ht="15" x14ac:dyDescent="0.2">
      <c r="E73" s="72">
        <v>-3</v>
      </c>
      <c r="F73" s="73" t="e">
        <f t="shared" si="6"/>
        <v>#DIV/0!</v>
      </c>
      <c r="G73" s="73" t="e">
        <f t="shared" si="7"/>
        <v>#DIV/0!</v>
      </c>
      <c r="H73" s="73" t="e">
        <f t="shared" si="8"/>
        <v>#DIV/0!</v>
      </c>
      <c r="I73" s="73" t="e">
        <f t="shared" si="5"/>
        <v>#DIV/0!</v>
      </c>
      <c r="J73" s="73" t="e">
        <f t="shared" si="9"/>
        <v>#DIV/0!</v>
      </c>
      <c r="K73" s="73" t="e">
        <f t="shared" si="10"/>
        <v>#DIV/0!</v>
      </c>
      <c r="M73" s="56"/>
      <c r="N73" s="57"/>
      <c r="O73" s="58" t="b">
        <f t="shared" si="11"/>
        <v>0</v>
      </c>
      <c r="T73" s="85">
        <f>$U$27+$B$38/100</f>
        <v>0</v>
      </c>
      <c r="U73" s="28" t="e">
        <f>$X$28</f>
        <v>#DIV/0!</v>
      </c>
    </row>
    <row r="74" spans="5:21" ht="15" x14ac:dyDescent="0.2">
      <c r="E74" s="72">
        <v>-2.8</v>
      </c>
      <c r="F74" s="73" t="e">
        <f t="shared" si="6"/>
        <v>#DIV/0!</v>
      </c>
      <c r="G74" s="73" t="e">
        <f t="shared" si="7"/>
        <v>#DIV/0!</v>
      </c>
      <c r="H74" s="73" t="e">
        <f t="shared" si="8"/>
        <v>#DIV/0!</v>
      </c>
      <c r="I74" s="73" t="e">
        <f t="shared" si="5"/>
        <v>#DIV/0!</v>
      </c>
      <c r="J74" s="73" t="e">
        <f t="shared" si="9"/>
        <v>#DIV/0!</v>
      </c>
      <c r="K74" s="73" t="e">
        <f t="shared" si="10"/>
        <v>#DIV/0!</v>
      </c>
      <c r="M74" s="56"/>
      <c r="N74" s="57"/>
      <c r="O74" s="58" t="b">
        <f t="shared" si="11"/>
        <v>0</v>
      </c>
      <c r="T74" s="85">
        <f>$U$28-$B$38/100</f>
        <v>0</v>
      </c>
      <c r="U74" s="28" t="e">
        <f>$X$28</f>
        <v>#DIV/0!</v>
      </c>
    </row>
    <row r="75" spans="5:21" ht="15" x14ac:dyDescent="0.2">
      <c r="E75" s="72">
        <v>-2.6</v>
      </c>
      <c r="F75" s="73" t="e">
        <f t="shared" si="6"/>
        <v>#DIV/0!</v>
      </c>
      <c r="G75" s="73" t="e">
        <f t="shared" si="7"/>
        <v>#DIV/0!</v>
      </c>
      <c r="H75" s="73" t="e">
        <f t="shared" si="8"/>
        <v>#DIV/0!</v>
      </c>
      <c r="I75" s="73" t="e">
        <f t="shared" si="5"/>
        <v>#DIV/0!</v>
      </c>
      <c r="J75" s="73" t="e">
        <f t="shared" si="9"/>
        <v>#DIV/0!</v>
      </c>
      <c r="K75" s="73" t="e">
        <f t="shared" si="10"/>
        <v>#DIV/0!</v>
      </c>
      <c r="M75" s="56"/>
      <c r="N75" s="57"/>
      <c r="O75" s="58" t="b">
        <f t="shared" si="11"/>
        <v>0</v>
      </c>
      <c r="T75" s="85">
        <f>$U$28+$B$38/100</f>
        <v>0</v>
      </c>
      <c r="U75" s="28" t="e">
        <f>$X$29</f>
        <v>#DIV/0!</v>
      </c>
    </row>
    <row r="76" spans="5:21" ht="15" x14ac:dyDescent="0.2">
      <c r="E76" s="72">
        <v>-2.4</v>
      </c>
      <c r="F76" s="73" t="e">
        <f t="shared" si="6"/>
        <v>#DIV/0!</v>
      </c>
      <c r="G76" s="73" t="e">
        <f t="shared" si="7"/>
        <v>#DIV/0!</v>
      </c>
      <c r="H76" s="73" t="e">
        <f t="shared" si="8"/>
        <v>#DIV/0!</v>
      </c>
      <c r="I76" s="73" t="e">
        <f t="shared" si="5"/>
        <v>#DIV/0!</v>
      </c>
      <c r="J76" s="73" t="e">
        <f t="shared" si="9"/>
        <v>#DIV/0!</v>
      </c>
      <c r="K76" s="73" t="e">
        <f t="shared" si="10"/>
        <v>#DIV/0!</v>
      </c>
      <c r="M76" s="56"/>
      <c r="N76" s="57"/>
      <c r="O76" s="58" t="b">
        <f t="shared" si="11"/>
        <v>0</v>
      </c>
      <c r="T76" s="85">
        <f>$U$29-$B$38/100</f>
        <v>0</v>
      </c>
      <c r="U76" s="28" t="e">
        <f>$X$29</f>
        <v>#DIV/0!</v>
      </c>
    </row>
    <row r="77" spans="5:21" ht="15" x14ac:dyDescent="0.2">
      <c r="E77" s="72">
        <v>-2.2000000000000002</v>
      </c>
      <c r="F77" s="73" t="e">
        <f t="shared" si="6"/>
        <v>#DIV/0!</v>
      </c>
      <c r="G77" s="73" t="e">
        <f t="shared" si="7"/>
        <v>#DIV/0!</v>
      </c>
      <c r="H77" s="73" t="e">
        <f t="shared" si="8"/>
        <v>#DIV/0!</v>
      </c>
      <c r="I77" s="73" t="e">
        <f t="shared" si="5"/>
        <v>#DIV/0!</v>
      </c>
      <c r="J77" s="73" t="e">
        <f t="shared" si="9"/>
        <v>#DIV/0!</v>
      </c>
      <c r="K77" s="73" t="e">
        <f t="shared" si="10"/>
        <v>#DIV/0!</v>
      </c>
      <c r="L77" s="16"/>
      <c r="M77" s="56"/>
      <c r="N77" s="57"/>
      <c r="O77" s="58" t="b">
        <f t="shared" si="11"/>
        <v>0</v>
      </c>
      <c r="T77" s="85">
        <f>$U$29+$B$38/100</f>
        <v>0</v>
      </c>
      <c r="U77" s="28" t="e">
        <f>$X$30</f>
        <v>#DIV/0!</v>
      </c>
    </row>
    <row r="78" spans="5:21" ht="15" x14ac:dyDescent="0.2">
      <c r="E78" s="72">
        <v>-2</v>
      </c>
      <c r="F78" s="73" t="e">
        <f t="shared" si="6"/>
        <v>#DIV/0!</v>
      </c>
      <c r="G78" s="73" t="e">
        <f t="shared" si="7"/>
        <v>#DIV/0!</v>
      </c>
      <c r="H78" s="73" t="e">
        <f t="shared" si="8"/>
        <v>#DIV/0!</v>
      </c>
      <c r="I78" s="73" t="e">
        <f t="shared" si="5"/>
        <v>#DIV/0!</v>
      </c>
      <c r="J78" s="73" t="e">
        <f t="shared" si="9"/>
        <v>#DIV/0!</v>
      </c>
      <c r="K78" s="73" t="e">
        <f t="shared" si="10"/>
        <v>#DIV/0!</v>
      </c>
      <c r="L78" s="16"/>
      <c r="M78" s="56"/>
      <c r="N78" s="57"/>
      <c r="O78" s="58" t="b">
        <f t="shared" si="11"/>
        <v>0</v>
      </c>
      <c r="T78" s="85">
        <f>$U$30-$B$38/100</f>
        <v>0</v>
      </c>
      <c r="U78" s="28" t="e">
        <f>$X$30</f>
        <v>#DIV/0!</v>
      </c>
    </row>
    <row r="79" spans="5:21" ht="15" x14ac:dyDescent="0.2">
      <c r="E79" s="72">
        <v>-1.8</v>
      </c>
      <c r="F79" s="73" t="e">
        <f t="shared" si="6"/>
        <v>#DIV/0!</v>
      </c>
      <c r="G79" s="73" t="e">
        <f t="shared" si="7"/>
        <v>#DIV/0!</v>
      </c>
      <c r="H79" s="73" t="e">
        <f t="shared" si="8"/>
        <v>#DIV/0!</v>
      </c>
      <c r="I79" s="73" t="e">
        <f t="shared" si="5"/>
        <v>#DIV/0!</v>
      </c>
      <c r="J79" s="73" t="e">
        <f t="shared" si="9"/>
        <v>#DIV/0!</v>
      </c>
      <c r="K79" s="73" t="e">
        <f t="shared" si="10"/>
        <v>#DIV/0!</v>
      </c>
      <c r="L79" s="16"/>
      <c r="M79" s="56"/>
      <c r="N79" s="57"/>
      <c r="O79" s="58" t="b">
        <f t="shared" si="11"/>
        <v>0</v>
      </c>
      <c r="T79" s="85">
        <f>$U$30+$B$38/100</f>
        <v>0</v>
      </c>
      <c r="U79" s="28" t="e">
        <f>$X$31</f>
        <v>#DIV/0!</v>
      </c>
    </row>
    <row r="80" spans="5:21" ht="15" x14ac:dyDescent="0.2">
      <c r="E80" s="72">
        <v>-1.6</v>
      </c>
      <c r="F80" s="73" t="e">
        <f t="shared" si="6"/>
        <v>#DIV/0!</v>
      </c>
      <c r="G80" s="73" t="e">
        <f t="shared" si="7"/>
        <v>#DIV/0!</v>
      </c>
      <c r="H80" s="73" t="e">
        <f t="shared" si="8"/>
        <v>#DIV/0!</v>
      </c>
      <c r="I80" s="73" t="e">
        <f t="shared" si="5"/>
        <v>#DIV/0!</v>
      </c>
      <c r="J80" s="73" t="e">
        <f t="shared" si="9"/>
        <v>#DIV/0!</v>
      </c>
      <c r="K80" s="73" t="e">
        <f t="shared" si="10"/>
        <v>#DIV/0!</v>
      </c>
      <c r="L80" s="16"/>
      <c r="M80" s="56"/>
      <c r="N80" s="57"/>
      <c r="O80" s="58" t="b">
        <f t="shared" si="11"/>
        <v>0</v>
      </c>
      <c r="T80" s="85">
        <f>$U$31-$B$38/100</f>
        <v>0</v>
      </c>
      <c r="U80" s="28" t="e">
        <f>$X$31</f>
        <v>#DIV/0!</v>
      </c>
    </row>
    <row r="81" spans="5:21" ht="15" x14ac:dyDescent="0.2">
      <c r="E81" s="72">
        <v>-1.4</v>
      </c>
      <c r="F81" s="73" t="e">
        <f t="shared" si="6"/>
        <v>#DIV/0!</v>
      </c>
      <c r="G81" s="73" t="e">
        <f t="shared" si="7"/>
        <v>#DIV/0!</v>
      </c>
      <c r="H81" s="73" t="e">
        <f t="shared" si="8"/>
        <v>#DIV/0!</v>
      </c>
      <c r="I81" s="73" t="e">
        <f t="shared" si="5"/>
        <v>#DIV/0!</v>
      </c>
      <c r="J81" s="73" t="e">
        <f t="shared" si="9"/>
        <v>#DIV/0!</v>
      </c>
      <c r="K81" s="73" t="e">
        <f t="shared" si="10"/>
        <v>#DIV/0!</v>
      </c>
      <c r="L81" s="14"/>
      <c r="M81" s="56"/>
      <c r="N81" s="57"/>
      <c r="O81" s="58" t="b">
        <f t="shared" si="11"/>
        <v>0</v>
      </c>
      <c r="T81" s="85">
        <f>$U$31+$B$38/100</f>
        <v>0</v>
      </c>
      <c r="U81" s="28" t="e">
        <f>$X$32</f>
        <v>#DIV/0!</v>
      </c>
    </row>
    <row r="82" spans="5:21" ht="15" x14ac:dyDescent="0.2">
      <c r="E82" s="72">
        <v>-1.2</v>
      </c>
      <c r="F82" s="73" t="e">
        <f t="shared" si="6"/>
        <v>#DIV/0!</v>
      </c>
      <c r="G82" s="73" t="e">
        <f t="shared" si="7"/>
        <v>#DIV/0!</v>
      </c>
      <c r="H82" s="73" t="e">
        <f t="shared" si="8"/>
        <v>#DIV/0!</v>
      </c>
      <c r="I82" s="73" t="e">
        <f t="shared" si="5"/>
        <v>#DIV/0!</v>
      </c>
      <c r="J82" s="73" t="e">
        <f t="shared" si="9"/>
        <v>#DIV/0!</v>
      </c>
      <c r="K82" s="73" t="e">
        <f t="shared" si="10"/>
        <v>#DIV/0!</v>
      </c>
      <c r="L82" s="14"/>
      <c r="M82" s="56"/>
      <c r="N82" s="57"/>
      <c r="O82" s="58" t="b">
        <f t="shared" si="11"/>
        <v>0</v>
      </c>
      <c r="T82" s="85">
        <f>$U$32-$B$38/100</f>
        <v>0</v>
      </c>
      <c r="U82" s="28" t="e">
        <f>$X$32</f>
        <v>#DIV/0!</v>
      </c>
    </row>
    <row r="83" spans="5:21" ht="15" x14ac:dyDescent="0.2">
      <c r="E83" s="72">
        <v>-1</v>
      </c>
      <c r="F83" s="73" t="e">
        <f t="shared" si="6"/>
        <v>#DIV/0!</v>
      </c>
      <c r="G83" s="73" t="e">
        <f t="shared" si="7"/>
        <v>#DIV/0!</v>
      </c>
      <c r="H83" s="73" t="e">
        <f t="shared" si="8"/>
        <v>#DIV/0!</v>
      </c>
      <c r="I83" s="73" t="e">
        <f t="shared" si="5"/>
        <v>#DIV/0!</v>
      </c>
      <c r="J83" s="73" t="e">
        <f t="shared" si="9"/>
        <v>#DIV/0!</v>
      </c>
      <c r="K83" s="73" t="e">
        <f t="shared" si="10"/>
        <v>#DIV/0!</v>
      </c>
      <c r="L83" s="14"/>
      <c r="M83" s="56"/>
      <c r="N83" s="57"/>
      <c r="O83" s="58" t="b">
        <f t="shared" si="11"/>
        <v>0</v>
      </c>
      <c r="T83" s="85">
        <f>$U$32+$B$38/100</f>
        <v>0</v>
      </c>
      <c r="U83" s="28" t="e">
        <f>$X$33</f>
        <v>#DIV/0!</v>
      </c>
    </row>
    <row r="84" spans="5:21" ht="15" x14ac:dyDescent="0.2">
      <c r="E84" s="72">
        <v>-0.8</v>
      </c>
      <c r="F84" s="73" t="e">
        <f t="shared" si="6"/>
        <v>#DIV/0!</v>
      </c>
      <c r="G84" s="73" t="e">
        <f t="shared" si="7"/>
        <v>#DIV/0!</v>
      </c>
      <c r="H84" s="73" t="e">
        <f t="shared" si="8"/>
        <v>#DIV/0!</v>
      </c>
      <c r="I84" s="73" t="e">
        <f t="shared" si="5"/>
        <v>#DIV/0!</v>
      </c>
      <c r="J84" s="73" t="e">
        <f t="shared" si="9"/>
        <v>#DIV/0!</v>
      </c>
      <c r="K84" s="73" t="e">
        <f t="shared" si="10"/>
        <v>#DIV/0!</v>
      </c>
      <c r="M84" s="56"/>
      <c r="N84" s="57"/>
      <c r="O84" s="58" t="b">
        <f t="shared" si="11"/>
        <v>0</v>
      </c>
      <c r="T84" s="85">
        <f>$U$33-$B$38/100</f>
        <v>0</v>
      </c>
      <c r="U84" s="28" t="e">
        <f>$X$33</f>
        <v>#DIV/0!</v>
      </c>
    </row>
    <row r="85" spans="5:21" ht="15" x14ac:dyDescent="0.2">
      <c r="E85" s="72">
        <v>-0.6</v>
      </c>
      <c r="F85" s="73" t="e">
        <f t="shared" si="6"/>
        <v>#DIV/0!</v>
      </c>
      <c r="G85" s="73" t="e">
        <f t="shared" si="7"/>
        <v>#DIV/0!</v>
      </c>
      <c r="H85" s="73" t="e">
        <f t="shared" si="8"/>
        <v>#DIV/0!</v>
      </c>
      <c r="I85" s="73" t="e">
        <f t="shared" si="5"/>
        <v>#DIV/0!</v>
      </c>
      <c r="J85" s="73" t="e">
        <f t="shared" si="9"/>
        <v>#DIV/0!</v>
      </c>
      <c r="K85" s="73" t="e">
        <f t="shared" si="10"/>
        <v>#DIV/0!</v>
      </c>
      <c r="M85" s="56"/>
      <c r="N85" s="57"/>
      <c r="O85" s="58" t="b">
        <f t="shared" si="11"/>
        <v>0</v>
      </c>
      <c r="T85" s="85">
        <f>$U$33+$B$38/100</f>
        <v>0</v>
      </c>
      <c r="U85" s="28" t="e">
        <f>$X$34</f>
        <v>#DIV/0!</v>
      </c>
    </row>
    <row r="86" spans="5:21" ht="15" x14ac:dyDescent="0.2">
      <c r="E86" s="72">
        <v>-0.4</v>
      </c>
      <c r="F86" s="73" t="e">
        <f t="shared" si="6"/>
        <v>#DIV/0!</v>
      </c>
      <c r="G86" s="73" t="e">
        <f t="shared" si="7"/>
        <v>#DIV/0!</v>
      </c>
      <c r="H86" s="73" t="e">
        <f t="shared" si="8"/>
        <v>#DIV/0!</v>
      </c>
      <c r="I86" s="73" t="e">
        <f t="shared" si="5"/>
        <v>#DIV/0!</v>
      </c>
      <c r="J86" s="73" t="e">
        <f t="shared" si="9"/>
        <v>#DIV/0!</v>
      </c>
      <c r="K86" s="73" t="e">
        <f t="shared" si="10"/>
        <v>#DIV/0!</v>
      </c>
      <c r="M86" s="56"/>
      <c r="N86" s="57"/>
      <c r="O86" s="58" t="b">
        <f t="shared" si="11"/>
        <v>0</v>
      </c>
      <c r="T86" s="85">
        <f>$U$34-$B$38/100</f>
        <v>0</v>
      </c>
      <c r="U86" s="28" t="e">
        <f>$X$34</f>
        <v>#DIV/0!</v>
      </c>
    </row>
    <row r="87" spans="5:21" ht="15" x14ac:dyDescent="0.2">
      <c r="E87" s="72">
        <v>-0.2</v>
      </c>
      <c r="F87" s="73" t="e">
        <f t="shared" si="6"/>
        <v>#DIV/0!</v>
      </c>
      <c r="G87" s="73" t="e">
        <f t="shared" si="7"/>
        <v>#DIV/0!</v>
      </c>
      <c r="H87" s="73" t="e">
        <f t="shared" si="8"/>
        <v>#DIV/0!</v>
      </c>
      <c r="I87" s="73" t="e">
        <f t="shared" si="5"/>
        <v>#DIV/0!</v>
      </c>
      <c r="J87" s="73" t="e">
        <f t="shared" si="9"/>
        <v>#DIV/0!</v>
      </c>
      <c r="K87" s="73" t="e">
        <f t="shared" si="10"/>
        <v>#DIV/0!</v>
      </c>
      <c r="M87" s="56"/>
      <c r="N87" s="57"/>
      <c r="O87" s="58" t="b">
        <f t="shared" si="11"/>
        <v>0</v>
      </c>
      <c r="T87" s="85">
        <f>$U$34+$B$38/100</f>
        <v>0</v>
      </c>
      <c r="U87" s="28" t="e">
        <f>$X$35</f>
        <v>#DIV/0!</v>
      </c>
    </row>
    <row r="88" spans="5:21" ht="15" x14ac:dyDescent="0.2">
      <c r="E88" s="72">
        <v>0</v>
      </c>
      <c r="F88" s="73" t="e">
        <f t="shared" si="6"/>
        <v>#DIV/0!</v>
      </c>
      <c r="G88" s="73" t="e">
        <f t="shared" si="7"/>
        <v>#DIV/0!</v>
      </c>
      <c r="H88" s="73" t="e">
        <f t="shared" si="8"/>
        <v>#DIV/0!</v>
      </c>
      <c r="I88" s="73" t="e">
        <f t="shared" si="5"/>
        <v>#DIV/0!</v>
      </c>
      <c r="J88" s="73" t="e">
        <f t="shared" si="9"/>
        <v>#DIV/0!</v>
      </c>
      <c r="K88" s="73" t="e">
        <f t="shared" si="10"/>
        <v>#DIV/0!</v>
      </c>
      <c r="M88" s="56"/>
      <c r="N88" s="57"/>
      <c r="O88" s="58" t="b">
        <f t="shared" si="11"/>
        <v>0</v>
      </c>
      <c r="T88" s="85">
        <f>$U$35-$B$38/100</f>
        <v>0</v>
      </c>
      <c r="U88" s="28" t="e">
        <f>$X$35</f>
        <v>#DIV/0!</v>
      </c>
    </row>
    <row r="89" spans="5:21" ht="15" x14ac:dyDescent="0.2">
      <c r="E89" s="72">
        <v>0.2</v>
      </c>
      <c r="F89" s="73" t="e">
        <f t="shared" si="6"/>
        <v>#DIV/0!</v>
      </c>
      <c r="G89" s="73" t="e">
        <f t="shared" si="7"/>
        <v>#DIV/0!</v>
      </c>
      <c r="H89" s="73" t="e">
        <f t="shared" si="8"/>
        <v>#DIV/0!</v>
      </c>
      <c r="I89" s="73" t="e">
        <f t="shared" si="5"/>
        <v>#DIV/0!</v>
      </c>
      <c r="J89" s="73" t="e">
        <f t="shared" si="9"/>
        <v>#DIV/0!</v>
      </c>
      <c r="K89" s="73" t="e">
        <f t="shared" si="10"/>
        <v>#DIV/0!</v>
      </c>
      <c r="M89" s="56"/>
      <c r="N89" s="57"/>
      <c r="O89" s="58" t="b">
        <f t="shared" si="11"/>
        <v>0</v>
      </c>
      <c r="T89" s="85">
        <f>$U$35+$B$38/100</f>
        <v>0</v>
      </c>
      <c r="U89" s="28" t="e">
        <f>$X$36</f>
        <v>#DIV/0!</v>
      </c>
    </row>
    <row r="90" spans="5:21" ht="15" x14ac:dyDescent="0.2">
      <c r="E90" s="72">
        <v>0.4</v>
      </c>
      <c r="F90" s="73" t="e">
        <f t="shared" si="6"/>
        <v>#DIV/0!</v>
      </c>
      <c r="G90" s="73" t="e">
        <f t="shared" si="7"/>
        <v>#DIV/0!</v>
      </c>
      <c r="H90" s="73" t="e">
        <f t="shared" si="8"/>
        <v>#DIV/0!</v>
      </c>
      <c r="I90" s="73" t="e">
        <f t="shared" si="5"/>
        <v>#DIV/0!</v>
      </c>
      <c r="J90" s="73" t="e">
        <f t="shared" si="9"/>
        <v>#DIV/0!</v>
      </c>
      <c r="K90" s="73" t="e">
        <f t="shared" si="10"/>
        <v>#DIV/0!</v>
      </c>
      <c r="M90" s="56"/>
      <c r="N90" s="57"/>
      <c r="O90" s="58" t="b">
        <f t="shared" si="11"/>
        <v>0</v>
      </c>
      <c r="T90" s="85">
        <f>$U$36-$B$38/100</f>
        <v>0</v>
      </c>
      <c r="U90" s="28" t="e">
        <f>$X$36</f>
        <v>#DIV/0!</v>
      </c>
    </row>
    <row r="91" spans="5:21" ht="15" x14ac:dyDescent="0.2">
      <c r="E91" s="72">
        <v>0.6</v>
      </c>
      <c r="F91" s="73" t="e">
        <f t="shared" si="6"/>
        <v>#DIV/0!</v>
      </c>
      <c r="G91" s="73" t="e">
        <f t="shared" si="7"/>
        <v>#DIV/0!</v>
      </c>
      <c r="H91" s="73" t="e">
        <f t="shared" si="8"/>
        <v>#DIV/0!</v>
      </c>
      <c r="I91" s="73" t="e">
        <f t="shared" si="5"/>
        <v>#DIV/0!</v>
      </c>
      <c r="J91" s="73" t="e">
        <f t="shared" si="9"/>
        <v>#DIV/0!</v>
      </c>
      <c r="K91" s="73" t="e">
        <f t="shared" si="10"/>
        <v>#DIV/0!</v>
      </c>
      <c r="M91" s="56"/>
      <c r="N91" s="57"/>
      <c r="O91" s="58" t="b">
        <f t="shared" si="11"/>
        <v>0</v>
      </c>
      <c r="T91" s="85">
        <f>$U$36+$B$38/100</f>
        <v>0</v>
      </c>
      <c r="U91" s="28" t="e">
        <f>$X$37</f>
        <v>#DIV/0!</v>
      </c>
    </row>
    <row r="92" spans="5:21" ht="15" x14ac:dyDescent="0.2">
      <c r="E92" s="72">
        <v>0.80000000000001004</v>
      </c>
      <c r="F92" s="73" t="e">
        <f t="shared" si="6"/>
        <v>#DIV/0!</v>
      </c>
      <c r="G92" s="73" t="e">
        <f t="shared" si="7"/>
        <v>#DIV/0!</v>
      </c>
      <c r="H92" s="73" t="e">
        <f t="shared" si="8"/>
        <v>#DIV/0!</v>
      </c>
      <c r="I92" s="73" t="e">
        <f t="shared" si="5"/>
        <v>#DIV/0!</v>
      </c>
      <c r="J92" s="73" t="e">
        <f t="shared" si="9"/>
        <v>#DIV/0!</v>
      </c>
      <c r="K92" s="73" t="e">
        <f t="shared" si="10"/>
        <v>#DIV/0!</v>
      </c>
      <c r="M92" s="56"/>
      <c r="N92" s="57"/>
      <c r="O92" s="58" t="b">
        <f t="shared" si="11"/>
        <v>0</v>
      </c>
      <c r="T92" s="85">
        <f>$U$37-$B$38/100</f>
        <v>0</v>
      </c>
      <c r="U92" s="28" t="e">
        <f>$X$37</f>
        <v>#DIV/0!</v>
      </c>
    </row>
    <row r="93" spans="5:21" ht="15" x14ac:dyDescent="0.2">
      <c r="E93" s="72">
        <v>1.00000000000001</v>
      </c>
      <c r="F93" s="73" t="e">
        <f t="shared" si="6"/>
        <v>#DIV/0!</v>
      </c>
      <c r="G93" s="73" t="e">
        <f t="shared" si="7"/>
        <v>#DIV/0!</v>
      </c>
      <c r="H93" s="73" t="e">
        <f t="shared" si="8"/>
        <v>#DIV/0!</v>
      </c>
      <c r="I93" s="73" t="e">
        <f t="shared" si="5"/>
        <v>#DIV/0!</v>
      </c>
      <c r="J93" s="73" t="e">
        <f t="shared" si="9"/>
        <v>#DIV/0!</v>
      </c>
      <c r="K93" s="73" t="e">
        <f t="shared" si="10"/>
        <v>#DIV/0!</v>
      </c>
      <c r="M93" s="56"/>
      <c r="N93" s="57"/>
      <c r="O93" s="58" t="b">
        <f t="shared" si="11"/>
        <v>0</v>
      </c>
      <c r="T93" s="85">
        <f>$U$37+$B$38/100</f>
        <v>0</v>
      </c>
      <c r="U93" s="28" t="e">
        <f>$X$38</f>
        <v>#DIV/0!</v>
      </c>
    </row>
    <row r="94" spans="5:21" ht="15" x14ac:dyDescent="0.2">
      <c r="E94" s="72">
        <v>1.2000000000000099</v>
      </c>
      <c r="F94" s="73" t="e">
        <f t="shared" si="6"/>
        <v>#DIV/0!</v>
      </c>
      <c r="G94" s="73" t="e">
        <f t="shared" si="7"/>
        <v>#DIV/0!</v>
      </c>
      <c r="H94" s="73" t="e">
        <f t="shared" si="8"/>
        <v>#DIV/0!</v>
      </c>
      <c r="I94" s="73" t="e">
        <f t="shared" si="5"/>
        <v>#DIV/0!</v>
      </c>
      <c r="J94" s="73" t="e">
        <f t="shared" si="9"/>
        <v>#DIV/0!</v>
      </c>
      <c r="K94" s="73" t="e">
        <f t="shared" si="10"/>
        <v>#DIV/0!</v>
      </c>
      <c r="M94" s="56"/>
      <c r="N94" s="57"/>
      <c r="O94" s="58" t="b">
        <f t="shared" si="11"/>
        <v>0</v>
      </c>
      <c r="T94" s="85">
        <f>$U$38-$B$38/100</f>
        <v>0</v>
      </c>
      <c r="U94" s="28" t="e">
        <f>$X$38</f>
        <v>#DIV/0!</v>
      </c>
    </row>
    <row r="95" spans="5:21" ht="15" x14ac:dyDescent="0.2">
      <c r="E95" s="72">
        <v>1.4000000000000099</v>
      </c>
      <c r="F95" s="73" t="e">
        <f t="shared" si="6"/>
        <v>#DIV/0!</v>
      </c>
      <c r="G95" s="73" t="e">
        <f t="shared" si="7"/>
        <v>#DIV/0!</v>
      </c>
      <c r="H95" s="73" t="e">
        <f t="shared" si="8"/>
        <v>#DIV/0!</v>
      </c>
      <c r="I95" s="73" t="e">
        <f t="shared" si="5"/>
        <v>#DIV/0!</v>
      </c>
      <c r="J95" s="73" t="e">
        <f t="shared" si="9"/>
        <v>#DIV/0!</v>
      </c>
      <c r="K95" s="73" t="e">
        <f t="shared" si="10"/>
        <v>#DIV/0!</v>
      </c>
      <c r="M95" s="56"/>
      <c r="N95" s="57"/>
      <c r="O95" s="58" t="b">
        <f t="shared" si="11"/>
        <v>0</v>
      </c>
      <c r="T95" s="85">
        <f>$U$38+$B$38/100</f>
        <v>0</v>
      </c>
      <c r="U95" s="28" t="e">
        <f>$X$39</f>
        <v>#DIV/0!</v>
      </c>
    </row>
    <row r="96" spans="5:21" ht="15" x14ac:dyDescent="0.2">
      <c r="E96" s="72">
        <v>1.6000000000000101</v>
      </c>
      <c r="F96" s="73" t="e">
        <f t="shared" si="6"/>
        <v>#DIV/0!</v>
      </c>
      <c r="G96" s="73" t="e">
        <f t="shared" si="7"/>
        <v>#DIV/0!</v>
      </c>
      <c r="H96" s="73" t="e">
        <f t="shared" si="8"/>
        <v>#DIV/0!</v>
      </c>
      <c r="I96" s="73" t="e">
        <f t="shared" si="5"/>
        <v>#DIV/0!</v>
      </c>
      <c r="J96" s="73" t="e">
        <f t="shared" si="9"/>
        <v>#DIV/0!</v>
      </c>
      <c r="K96" s="73" t="e">
        <f t="shared" si="10"/>
        <v>#DIV/0!</v>
      </c>
      <c r="M96" s="56"/>
      <c r="N96" s="57"/>
      <c r="O96" s="58" t="b">
        <f t="shared" si="11"/>
        <v>0</v>
      </c>
      <c r="T96" s="85">
        <f>$U$39-$B$38/100</f>
        <v>0</v>
      </c>
      <c r="U96" s="28" t="e">
        <f>$X$39</f>
        <v>#DIV/0!</v>
      </c>
    </row>
    <row r="97" spans="5:21" ht="15" x14ac:dyDescent="0.2">
      <c r="E97" s="72">
        <v>1.80000000000001</v>
      </c>
      <c r="F97" s="73" t="e">
        <f t="shared" si="6"/>
        <v>#DIV/0!</v>
      </c>
      <c r="G97" s="73" t="e">
        <f t="shared" si="7"/>
        <v>#DIV/0!</v>
      </c>
      <c r="H97" s="73" t="e">
        <f t="shared" si="8"/>
        <v>#DIV/0!</v>
      </c>
      <c r="I97" s="73" t="e">
        <f t="shared" si="5"/>
        <v>#DIV/0!</v>
      </c>
      <c r="J97" s="73" t="e">
        <f t="shared" si="9"/>
        <v>#DIV/0!</v>
      </c>
      <c r="K97" s="73" t="e">
        <f t="shared" si="10"/>
        <v>#DIV/0!</v>
      </c>
      <c r="M97" s="56"/>
      <c r="N97" s="57"/>
      <c r="O97" s="58" t="b">
        <f t="shared" si="11"/>
        <v>0</v>
      </c>
      <c r="T97" s="85">
        <f>$U$39+$B$38/100</f>
        <v>0</v>
      </c>
      <c r="U97" s="28" t="e">
        <f>$X$40</f>
        <v>#DIV/0!</v>
      </c>
    </row>
    <row r="98" spans="5:21" ht="15" x14ac:dyDescent="0.2">
      <c r="E98" s="72">
        <v>2.0000000000000102</v>
      </c>
      <c r="F98" s="73" t="e">
        <f t="shared" si="6"/>
        <v>#DIV/0!</v>
      </c>
      <c r="G98" s="73" t="e">
        <f t="shared" si="7"/>
        <v>#DIV/0!</v>
      </c>
      <c r="H98" s="73" t="e">
        <f t="shared" si="8"/>
        <v>#DIV/0!</v>
      </c>
      <c r="I98" s="73" t="e">
        <f t="shared" si="5"/>
        <v>#DIV/0!</v>
      </c>
      <c r="J98" s="73" t="e">
        <f t="shared" si="9"/>
        <v>#DIV/0!</v>
      </c>
      <c r="K98" s="73" t="e">
        <f t="shared" si="10"/>
        <v>#DIV/0!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 t="e">
        <f t="shared" si="6"/>
        <v>#DIV/0!</v>
      </c>
      <c r="G99" s="73" t="e">
        <f t="shared" si="7"/>
        <v>#DIV/0!</v>
      </c>
      <c r="H99" s="73" t="e">
        <f t="shared" si="8"/>
        <v>#DIV/0!</v>
      </c>
      <c r="I99" s="73" t="e">
        <f t="shared" si="5"/>
        <v>#DIV/0!</v>
      </c>
      <c r="J99" s="73" t="e">
        <f t="shared" si="9"/>
        <v>#DIV/0!</v>
      </c>
      <c r="K99" s="73" t="e">
        <f t="shared" si="10"/>
        <v>#DIV/0!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 t="e">
        <f t="shared" si="6"/>
        <v>#DIV/0!</v>
      </c>
      <c r="G100" s="73" t="e">
        <f t="shared" si="7"/>
        <v>#DIV/0!</v>
      </c>
      <c r="H100" s="73" t="e">
        <f t="shared" si="8"/>
        <v>#DIV/0!</v>
      </c>
      <c r="I100" s="73" t="e">
        <f t="shared" si="5"/>
        <v>#DIV/0!</v>
      </c>
      <c r="J100" s="73" t="e">
        <f t="shared" si="9"/>
        <v>#DIV/0!</v>
      </c>
      <c r="K100" s="73" t="e">
        <f t="shared" si="10"/>
        <v>#DIV/0!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 t="e">
        <f t="shared" si="6"/>
        <v>#DIV/0!</v>
      </c>
      <c r="G101" s="73" t="e">
        <f t="shared" si="7"/>
        <v>#DIV/0!</v>
      </c>
      <c r="H101" s="73" t="e">
        <f t="shared" si="8"/>
        <v>#DIV/0!</v>
      </c>
      <c r="I101" s="73" t="e">
        <f t="shared" si="5"/>
        <v>#DIV/0!</v>
      </c>
      <c r="J101" s="73" t="e">
        <f t="shared" si="9"/>
        <v>#DIV/0!</v>
      </c>
      <c r="K101" s="73" t="e">
        <f t="shared" si="10"/>
        <v>#DIV/0!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 t="e">
        <f t="shared" si="6"/>
        <v>#DIV/0!</v>
      </c>
      <c r="G102" s="73" t="e">
        <f t="shared" si="7"/>
        <v>#DIV/0!</v>
      </c>
      <c r="H102" s="73" t="e">
        <f t="shared" si="8"/>
        <v>#DIV/0!</v>
      </c>
      <c r="I102" s="73" t="e">
        <f t="shared" si="5"/>
        <v>#DIV/0!</v>
      </c>
      <c r="J102" s="73" t="e">
        <f t="shared" si="9"/>
        <v>#DIV/0!</v>
      </c>
      <c r="K102" s="73" t="e">
        <f t="shared" si="10"/>
        <v>#DIV/0!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 t="e">
        <f t="shared" si="6"/>
        <v>#DIV/0!</v>
      </c>
      <c r="G103" s="73" t="e">
        <f t="shared" si="7"/>
        <v>#DIV/0!</v>
      </c>
      <c r="H103" s="73" t="e">
        <f t="shared" si="8"/>
        <v>#DIV/0!</v>
      </c>
      <c r="I103" s="73" t="e">
        <f t="shared" si="5"/>
        <v>#DIV/0!</v>
      </c>
      <c r="J103" s="73" t="e">
        <f t="shared" si="9"/>
        <v>#DIV/0!</v>
      </c>
      <c r="K103" s="73" t="e">
        <f t="shared" si="10"/>
        <v>#DIV/0!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 t="e">
        <f t="shared" si="6"/>
        <v>#DIV/0!</v>
      </c>
      <c r="G104" s="73" t="e">
        <f t="shared" si="7"/>
        <v>#DIV/0!</v>
      </c>
      <c r="H104" s="73" t="e">
        <f t="shared" si="8"/>
        <v>#DIV/0!</v>
      </c>
      <c r="I104" s="73" t="e">
        <f t="shared" si="5"/>
        <v>#DIV/0!</v>
      </c>
      <c r="J104" s="73" t="e">
        <f t="shared" si="9"/>
        <v>#DIV/0!</v>
      </c>
      <c r="K104" s="73" t="e">
        <f t="shared" si="10"/>
        <v>#DIV/0!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 t="e">
        <f t="shared" si="6"/>
        <v>#DIV/0!</v>
      </c>
      <c r="G105" s="73" t="e">
        <f t="shared" si="7"/>
        <v>#DIV/0!</v>
      </c>
      <c r="H105" s="73" t="e">
        <f t="shared" si="8"/>
        <v>#DIV/0!</v>
      </c>
      <c r="I105" s="73" t="e">
        <f t="shared" si="5"/>
        <v>#DIV/0!</v>
      </c>
      <c r="J105" s="73" t="e">
        <f t="shared" si="9"/>
        <v>#DIV/0!</v>
      </c>
      <c r="K105" s="73" t="e">
        <f t="shared" si="10"/>
        <v>#DIV/0!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 t="e">
        <f t="shared" si="6"/>
        <v>#DIV/0!</v>
      </c>
      <c r="G106" s="73" t="e">
        <f t="shared" si="7"/>
        <v>#DIV/0!</v>
      </c>
      <c r="H106" s="73" t="e">
        <f t="shared" si="8"/>
        <v>#DIV/0!</v>
      </c>
      <c r="I106" s="73" t="e">
        <f t="shared" si="5"/>
        <v>#DIV/0!</v>
      </c>
      <c r="J106" s="73" t="e">
        <f t="shared" si="9"/>
        <v>#DIV/0!</v>
      </c>
      <c r="K106" s="73" t="e">
        <f t="shared" si="10"/>
        <v>#DIV/0!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 t="e">
        <f t="shared" si="6"/>
        <v>#DIV/0!</v>
      </c>
      <c r="G107" s="73" t="e">
        <f t="shared" si="7"/>
        <v>#DIV/0!</v>
      </c>
      <c r="H107" s="73" t="e">
        <f t="shared" si="8"/>
        <v>#DIV/0!</v>
      </c>
      <c r="I107" s="73" t="e">
        <f t="shared" si="5"/>
        <v>#DIV/0!</v>
      </c>
      <c r="J107" s="73" t="e">
        <f t="shared" si="9"/>
        <v>#DIV/0!</v>
      </c>
      <c r="K107" s="73" t="e">
        <f t="shared" si="10"/>
        <v>#DIV/0!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 t="e">
        <f t="shared" si="6"/>
        <v>#DIV/0!</v>
      </c>
      <c r="G108" s="73" t="e">
        <f t="shared" si="7"/>
        <v>#DIV/0!</v>
      </c>
      <c r="H108" s="73" t="e">
        <f t="shared" si="8"/>
        <v>#DIV/0!</v>
      </c>
      <c r="I108" s="73" t="e">
        <f t="shared" si="5"/>
        <v>#DIV/0!</v>
      </c>
      <c r="J108" s="73" t="e">
        <f t="shared" si="9"/>
        <v>#DIV/0!</v>
      </c>
      <c r="K108" s="73" t="e">
        <f t="shared" si="10"/>
        <v>#DIV/0!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 t="e">
        <f t="shared" si="6"/>
        <v>#DIV/0!</v>
      </c>
      <c r="G109" s="73" t="e">
        <f t="shared" si="7"/>
        <v>#DIV/0!</v>
      </c>
      <c r="H109" s="73" t="e">
        <f t="shared" si="8"/>
        <v>#DIV/0!</v>
      </c>
      <c r="I109" s="73" t="e">
        <f t="shared" si="5"/>
        <v>#DIV/0!</v>
      </c>
      <c r="J109" s="73" t="e">
        <f t="shared" si="9"/>
        <v>#DIV/0!</v>
      </c>
      <c r="K109" s="73" t="e">
        <f t="shared" si="10"/>
        <v>#DIV/0!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 t="e">
        <f t="shared" si="6"/>
        <v>#DIV/0!</v>
      </c>
      <c r="G110" s="73" t="e">
        <f t="shared" si="7"/>
        <v>#DIV/0!</v>
      </c>
      <c r="H110" s="73" t="e">
        <f t="shared" si="8"/>
        <v>#DIV/0!</v>
      </c>
      <c r="I110" s="73" t="e">
        <f t="shared" si="5"/>
        <v>#DIV/0!</v>
      </c>
      <c r="J110" s="73" t="e">
        <f t="shared" si="9"/>
        <v>#DIV/0!</v>
      </c>
      <c r="K110" s="73" t="e">
        <f t="shared" si="10"/>
        <v>#DIV/0!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 t="e">
        <f t="shared" si="6"/>
        <v>#DIV/0!</v>
      </c>
      <c r="G111" s="73" t="e">
        <f t="shared" si="7"/>
        <v>#DIV/0!</v>
      </c>
      <c r="H111" s="73" t="e">
        <f t="shared" si="8"/>
        <v>#DIV/0!</v>
      </c>
      <c r="I111" s="73" t="e">
        <f t="shared" si="5"/>
        <v>#DIV/0!</v>
      </c>
      <c r="J111" s="73" t="e">
        <f t="shared" si="9"/>
        <v>#DIV/0!</v>
      </c>
      <c r="K111" s="73" t="e">
        <f t="shared" si="10"/>
        <v>#DIV/0!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 t="e">
        <f t="shared" si="6"/>
        <v>#DIV/0!</v>
      </c>
      <c r="G112" s="73" t="e">
        <f t="shared" si="7"/>
        <v>#DIV/0!</v>
      </c>
      <c r="H112" s="73" t="e">
        <f t="shared" si="8"/>
        <v>#DIV/0!</v>
      </c>
      <c r="I112" s="73" t="e">
        <f t="shared" si="5"/>
        <v>#DIV/0!</v>
      </c>
      <c r="J112" s="73" t="e">
        <f t="shared" si="9"/>
        <v>#DIV/0!</v>
      </c>
      <c r="K112" s="73" t="e">
        <f t="shared" si="10"/>
        <v>#DIV/0!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 t="e">
        <f t="shared" si="6"/>
        <v>#DIV/0!</v>
      </c>
      <c r="G113" s="73" t="e">
        <f t="shared" si="7"/>
        <v>#DIV/0!</v>
      </c>
      <c r="H113" s="73" t="e">
        <f t="shared" si="8"/>
        <v>#DIV/0!</v>
      </c>
      <c r="I113" s="73" t="e">
        <f t="shared" si="5"/>
        <v>#DIV/0!</v>
      </c>
      <c r="J113" s="73" t="e">
        <f t="shared" si="9"/>
        <v>#DIV/0!</v>
      </c>
      <c r="K113" s="73" t="e">
        <f t="shared" si="10"/>
        <v>#DIV/0!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 t="e">
        <f>CORREL($N$3:$N$252,$M$3:$M$252)</f>
        <v>#DIV/0!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 t="e">
        <f>INTERCEPT($N$3:$N$252,$M$3:$M$252)</f>
        <v>#DIV/0!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 t="e">
        <f>SLOPE($N$3:$N$252,$M$3:$M$252)</f>
        <v>#DIV/0!</v>
      </c>
      <c r="H120" s="69" t="s">
        <v>50</v>
      </c>
      <c r="I120" s="79" t="b">
        <f>IF($B$9&gt;3,INDEX(XX!$C$4:$C$150,$B$9))</f>
        <v>0</v>
      </c>
      <c r="J120" s="79" t="b">
        <f>IF($B$9&gt;3,INDEX(XX!$D$4:$D$150,$B$9))</f>
        <v>0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 t="e">
        <f>IF((ABS($G$118)&gt;$I$120)*AND(ABS($G$118)&lt;$J$120),G$119+G$120*G122,0)</f>
        <v>#DIV/0!</v>
      </c>
      <c r="J122" s="79" t="e">
        <f>IF((ABS($G$118)&gt;$J$120),G$119+G$120*G122,0)</f>
        <v>#DIV/0!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0</v>
      </c>
      <c r="H123" s="11"/>
      <c r="I123" s="79" t="e">
        <f>IF((ABS($G$118)&gt;$I$120)*AND(ABS($G$118)&lt;$J$120),G$119+G$120*G123,0)</f>
        <v>#DIV/0!</v>
      </c>
      <c r="J123" s="79" t="e">
        <f>IF((ABS($G$118)&gt;$J$120),G$119+G$120*G123,0)</f>
        <v>#DIV/0!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2"/>
  <sheetViews>
    <sheetView zoomScale="75" workbookViewId="0">
      <selection activeCell="B33" sqref="B33"/>
    </sheetView>
  </sheetViews>
  <sheetFormatPr baseColWidth="10" defaultColWidth="11.5703125" defaultRowHeight="12.75" x14ac:dyDescent="0.2"/>
  <cols>
    <col min="1" max="1" width="25.7109375" style="1" customWidth="1"/>
    <col min="2" max="2" width="14.5703125" style="1" customWidth="1"/>
    <col min="3" max="3" width="21.28515625" style="1" customWidth="1"/>
    <col min="4" max="4" width="5.42578125" style="1" customWidth="1"/>
    <col min="5" max="5" width="11.5703125" style="1"/>
    <col min="6" max="6" width="17.5703125" style="1" customWidth="1"/>
    <col min="7" max="7" width="12.42578125" style="1" bestFit="1" customWidth="1"/>
    <col min="8" max="8" width="17.85546875" style="1" customWidth="1"/>
    <col min="9" max="9" width="11.5703125" style="1"/>
    <col min="10" max="10" width="15.140625" style="1" customWidth="1"/>
    <col min="11" max="11" width="12.42578125" style="1" bestFit="1" customWidth="1"/>
    <col min="12" max="12" width="14.42578125" style="1" customWidth="1"/>
    <col min="13" max="13" width="12.42578125" style="1" customWidth="1"/>
    <col min="14" max="14" width="14.7109375" style="1" customWidth="1"/>
    <col min="15" max="15" width="23.28515625" style="1" customWidth="1"/>
    <col min="16" max="16" width="12" style="1" customWidth="1"/>
    <col min="17" max="17" width="15.28515625" style="1" bestFit="1" customWidth="1"/>
    <col min="18" max="16384" width="11.5703125" style="1"/>
  </cols>
  <sheetData>
    <row r="1" spans="1:21" ht="15" customHeight="1" x14ac:dyDescent="0.25">
      <c r="A1" s="149" t="s">
        <v>82</v>
      </c>
      <c r="B1" s="149"/>
      <c r="C1" s="165" t="s">
        <v>149</v>
      </c>
      <c r="D1" s="19"/>
      <c r="E1" s="144" t="s">
        <v>91</v>
      </c>
      <c r="F1" s="144"/>
      <c r="G1" s="144"/>
      <c r="H1" s="19"/>
      <c r="I1" s="19"/>
      <c r="J1" s="19"/>
      <c r="K1" s="19"/>
      <c r="L1" s="19"/>
      <c r="M1" s="19"/>
      <c r="N1" s="35"/>
      <c r="O1" s="19"/>
    </row>
    <row r="2" spans="1:21" ht="15" customHeight="1" x14ac:dyDescent="0.2">
      <c r="A2" s="149"/>
      <c r="B2" s="149"/>
      <c r="C2" s="165"/>
      <c r="D2" s="19"/>
      <c r="E2" s="19"/>
      <c r="F2" s="19"/>
      <c r="G2" s="19"/>
      <c r="H2" s="19"/>
      <c r="I2" s="19"/>
      <c r="J2" s="19"/>
      <c r="K2" s="19"/>
      <c r="L2" s="19"/>
      <c r="M2" s="19"/>
      <c r="N2" s="35"/>
      <c r="O2" s="19"/>
      <c r="P2" s="121" t="s">
        <v>0</v>
      </c>
      <c r="Q2" s="121" t="s">
        <v>34</v>
      </c>
      <c r="R2" s="122" t="s">
        <v>57</v>
      </c>
      <c r="S2" s="122" t="s">
        <v>58</v>
      </c>
    </row>
    <row r="3" spans="1:21" ht="15" customHeight="1" x14ac:dyDescent="0.2">
      <c r="A3" s="118" t="s">
        <v>101</v>
      </c>
      <c r="B3" s="168" t="str">
        <f>pH!B3</f>
        <v>Deponie Gruselsumpf</v>
      </c>
      <c r="C3" s="168"/>
      <c r="D3" s="19"/>
      <c r="E3" s="19"/>
      <c r="F3" s="19"/>
      <c r="G3" s="19"/>
      <c r="H3" s="36"/>
      <c r="I3" s="19"/>
      <c r="J3" s="19"/>
      <c r="K3" s="19"/>
      <c r="L3" s="19"/>
      <c r="M3" s="19"/>
      <c r="N3" s="19"/>
      <c r="O3" s="19"/>
      <c r="P3" s="32">
        <v>33344</v>
      </c>
      <c r="Q3" s="33">
        <v>2.1000000000000001E-2</v>
      </c>
      <c r="R3" s="28">
        <f>IF($P3&gt;0,$B$17+$B$18*$P3)</f>
        <v>6.3345269153002093E-2</v>
      </c>
      <c r="S3" s="28">
        <f>IF($P3&gt;0,$Q3-$R3)</f>
        <v>-4.2345269153002088E-2</v>
      </c>
    </row>
    <row r="4" spans="1:21" ht="15" customHeight="1" x14ac:dyDescent="0.2">
      <c r="A4" s="118" t="s">
        <v>102</v>
      </c>
      <c r="B4" s="166" t="str">
        <f>pH!B4</f>
        <v>WG9999</v>
      </c>
      <c r="C4" s="16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48">
        <v>33444</v>
      </c>
      <c r="Q4" s="49">
        <v>8.2000000000000003E-2</v>
      </c>
      <c r="R4" s="28">
        <f t="shared" ref="R4:R47" si="0">IF($P4&gt;0,$B$17+$B$18*$P4)</f>
        <v>7.0456421732874031E-2</v>
      </c>
      <c r="S4" s="28">
        <f t="shared" ref="S4:S47" si="1">IF($P4&gt;0,$Q4-$R4)</f>
        <v>1.1543578267125973E-2</v>
      </c>
    </row>
    <row r="5" spans="1:21" ht="15" customHeight="1" x14ac:dyDescent="0.2">
      <c r="A5" s="131" t="s">
        <v>103</v>
      </c>
      <c r="B5" s="29" t="s">
        <v>100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32">
        <v>33526</v>
      </c>
      <c r="Q5" s="33">
        <v>0.15</v>
      </c>
      <c r="R5" s="28">
        <f t="shared" si="0"/>
        <v>7.6287566848368904E-2</v>
      </c>
      <c r="S5" s="28">
        <f t="shared" si="1"/>
        <v>7.371243315163109E-2</v>
      </c>
    </row>
    <row r="6" spans="1:21" ht="15" customHeight="1" x14ac:dyDescent="0.2">
      <c r="A6" s="131" t="s">
        <v>18</v>
      </c>
      <c r="B6" s="34">
        <v>0.75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32">
        <v>33616</v>
      </c>
      <c r="Q6" s="33">
        <v>0.129</v>
      </c>
      <c r="R6" s="28">
        <f t="shared" si="0"/>
        <v>8.2687604170253337E-2</v>
      </c>
      <c r="S6" s="28">
        <f t="shared" si="1"/>
        <v>4.6312395829746666E-2</v>
      </c>
    </row>
    <row r="7" spans="1:21" ht="15" customHeight="1" x14ac:dyDescent="0.2">
      <c r="A7" s="26"/>
      <c r="B7" s="19"/>
      <c r="C7" s="19"/>
      <c r="D7" s="19"/>
      <c r="E7" s="19"/>
      <c r="F7" s="19"/>
      <c r="G7" s="36"/>
      <c r="H7" s="19"/>
      <c r="I7" s="19"/>
      <c r="J7" s="19"/>
      <c r="K7" s="19"/>
      <c r="L7" s="19"/>
      <c r="M7" s="19"/>
      <c r="N7" s="19"/>
      <c r="O7" s="19"/>
      <c r="P7" s="32">
        <v>33701</v>
      </c>
      <c r="Q7" s="33">
        <v>1.7000000000000001E-2</v>
      </c>
      <c r="R7" s="28">
        <f t="shared" si="0"/>
        <v>8.8732083863144684E-2</v>
      </c>
      <c r="S7" s="28">
        <f t="shared" si="1"/>
        <v>-7.1732083863144683E-2</v>
      </c>
    </row>
    <row r="8" spans="1:21" ht="15" customHeight="1" x14ac:dyDescent="0.25">
      <c r="A8" s="140" t="s">
        <v>12</v>
      </c>
      <c r="B8" s="140"/>
      <c r="C8" s="140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32">
        <v>33772</v>
      </c>
      <c r="Q8" s="33">
        <v>2E-3</v>
      </c>
      <c r="R8" s="28">
        <f t="shared" si="0"/>
        <v>9.3781002194853524E-2</v>
      </c>
      <c r="S8" s="28">
        <f t="shared" si="1"/>
        <v>-9.1781002194853523E-2</v>
      </c>
    </row>
    <row r="9" spans="1:21" ht="15" customHeight="1" x14ac:dyDescent="0.2">
      <c r="A9" s="118" t="s">
        <v>11</v>
      </c>
      <c r="B9" s="20">
        <f>COUNT($Q3:$Q252)</f>
        <v>47</v>
      </c>
      <c r="C9" s="5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32">
        <v>33872</v>
      </c>
      <c r="Q9" s="33">
        <v>0.63300000000000001</v>
      </c>
      <c r="R9" s="28">
        <f t="shared" si="0"/>
        <v>0.10089215477472546</v>
      </c>
      <c r="S9" s="28">
        <f t="shared" si="1"/>
        <v>0.53210784522527454</v>
      </c>
    </row>
    <row r="10" spans="1:21" ht="15" customHeight="1" x14ac:dyDescent="0.2">
      <c r="A10" s="118" t="s">
        <v>7</v>
      </c>
      <c r="B10" s="21">
        <f>MIN($Q3:$Q252)</f>
        <v>2E-3</v>
      </c>
      <c r="C10" s="50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32">
        <v>33989</v>
      </c>
      <c r="Q10" s="33">
        <v>0.46</v>
      </c>
      <c r="R10" s="28">
        <f t="shared" si="0"/>
        <v>0.10921220329317549</v>
      </c>
      <c r="S10" s="28">
        <f t="shared" si="1"/>
        <v>0.35078779670682453</v>
      </c>
    </row>
    <row r="11" spans="1:21" ht="15" customHeight="1" x14ac:dyDescent="0.2">
      <c r="A11" s="118" t="s">
        <v>8</v>
      </c>
      <c r="B11" s="21">
        <f>MAX($Q3:$Q252)</f>
        <v>0.97299999999999998</v>
      </c>
      <c r="C11" s="50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32">
        <v>34075</v>
      </c>
      <c r="Q11" s="33">
        <v>7.5999999999999998E-2</v>
      </c>
      <c r="R11" s="28">
        <f t="shared" si="0"/>
        <v>0.11532779451186537</v>
      </c>
      <c r="S11" s="28">
        <f t="shared" si="1"/>
        <v>-3.9327794511865369E-2</v>
      </c>
      <c r="U11" s="3"/>
    </row>
    <row r="12" spans="1:21" ht="15" customHeight="1" x14ac:dyDescent="0.2">
      <c r="A12" s="118" t="s">
        <v>68</v>
      </c>
      <c r="B12" s="21">
        <f>MEDIAN($Q3:$Q252)</f>
        <v>0.11899999999999999</v>
      </c>
      <c r="C12" s="5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32">
        <v>34159</v>
      </c>
      <c r="Q12" s="33">
        <v>4.2000000000000003E-2</v>
      </c>
      <c r="R12" s="28">
        <f t="shared" si="0"/>
        <v>0.12130116267895774</v>
      </c>
      <c r="S12" s="28">
        <f t="shared" si="1"/>
        <v>-7.9301162678957732E-2</v>
      </c>
    </row>
    <row r="13" spans="1:21" ht="15" customHeight="1" x14ac:dyDescent="0.2">
      <c r="A13" s="118" t="s">
        <v>69</v>
      </c>
      <c r="B13" s="20" t="str">
        <f>IF(ABS($B$16)&gt;$J$58,"&gt; 99%",IF(ABS($B$16)&gt;$I$58,"&gt; 95%","nicht signifikant"))</f>
        <v>&gt; 99%</v>
      </c>
      <c r="C13" s="50"/>
      <c r="D13" s="19"/>
      <c r="E13" s="19"/>
      <c r="F13" s="19"/>
      <c r="G13" s="19"/>
      <c r="H13" s="19"/>
      <c r="I13" s="19"/>
      <c r="J13" s="36"/>
      <c r="K13" s="19"/>
      <c r="L13" s="19"/>
      <c r="M13" s="19"/>
      <c r="N13" s="19"/>
      <c r="O13" s="19"/>
      <c r="P13" s="32">
        <v>34263</v>
      </c>
      <c r="Q13" s="33">
        <v>0.12</v>
      </c>
      <c r="R13" s="28">
        <f t="shared" si="0"/>
        <v>0.12869676136202424</v>
      </c>
      <c r="S13" s="28">
        <f t="shared" si="1"/>
        <v>-8.6967613620242412E-3</v>
      </c>
    </row>
    <row r="14" spans="1:21" ht="15" customHeight="1" x14ac:dyDescent="0.2">
      <c r="A14" s="26"/>
      <c r="B14" s="26"/>
      <c r="C14" s="26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32">
        <v>34348</v>
      </c>
      <c r="Q14" s="33">
        <v>3.7999999999999999E-2</v>
      </c>
      <c r="R14" s="28">
        <f t="shared" si="0"/>
        <v>0.13474124105491558</v>
      </c>
      <c r="S14" s="28">
        <f t="shared" si="1"/>
        <v>-9.6741241054915578E-2</v>
      </c>
    </row>
    <row r="15" spans="1:21" ht="15" customHeight="1" x14ac:dyDescent="0.25">
      <c r="A15" s="140" t="s">
        <v>42</v>
      </c>
      <c r="B15" s="140"/>
      <c r="C15" s="14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32">
        <v>34429</v>
      </c>
      <c r="Q15" s="33">
        <v>3.0000000000000001E-3</v>
      </c>
      <c r="R15" s="28">
        <f t="shared" si="0"/>
        <v>0.14050127464461148</v>
      </c>
      <c r="S15" s="28">
        <f t="shared" si="1"/>
        <v>-0.13750127464461148</v>
      </c>
    </row>
    <row r="16" spans="1:21" ht="15" customHeight="1" x14ac:dyDescent="0.2">
      <c r="A16" s="119" t="s">
        <v>83</v>
      </c>
      <c r="B16" s="22">
        <f>CORREL($Q$3:$Q$252,$P$3:$P$252)</f>
        <v>0.41887105599061097</v>
      </c>
      <c r="C16" s="5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32">
        <v>34611</v>
      </c>
      <c r="Q16" s="33">
        <v>0.17100000000000001</v>
      </c>
      <c r="R16" s="28">
        <f t="shared" si="0"/>
        <v>0.1534435723399783</v>
      </c>
      <c r="S16" s="28">
        <f t="shared" si="1"/>
        <v>1.7556427660021717E-2</v>
      </c>
    </row>
    <row r="17" spans="1:19" ht="15" customHeight="1" x14ac:dyDescent="0.2">
      <c r="A17" s="119" t="s">
        <v>84</v>
      </c>
      <c r="B17" s="22">
        <f>INTERCEPT($Q$3:$Q$252,$P$3:$P$252)</f>
        <v>-2.3077974470794724</v>
      </c>
      <c r="C17" s="5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32">
        <v>34704</v>
      </c>
      <c r="Q17" s="33">
        <v>0.04</v>
      </c>
      <c r="R17" s="28">
        <f t="shared" si="0"/>
        <v>0.1600569442392592</v>
      </c>
      <c r="S17" s="28">
        <f t="shared" si="1"/>
        <v>-0.12005694423925919</v>
      </c>
    </row>
    <row r="18" spans="1:19" ht="15" customHeight="1" x14ac:dyDescent="0.2">
      <c r="A18" s="119" t="s">
        <v>39</v>
      </c>
      <c r="B18" s="22">
        <f>SLOPE($Q$3:$Q$252,$P$3:$P$252)</f>
        <v>7.1111525798718642E-5</v>
      </c>
      <c r="C18" s="50"/>
      <c r="D18" s="19"/>
      <c r="E18" s="19"/>
      <c r="F18" s="19"/>
      <c r="G18" s="19"/>
      <c r="H18" s="19"/>
      <c r="I18" s="19"/>
      <c r="J18" s="37"/>
      <c r="K18" s="19"/>
      <c r="L18" s="19"/>
      <c r="M18" s="19"/>
      <c r="N18" s="19"/>
      <c r="O18" s="19"/>
      <c r="P18" s="32">
        <v>34795</v>
      </c>
      <c r="Q18" s="33">
        <v>0.115</v>
      </c>
      <c r="R18" s="28">
        <f t="shared" si="0"/>
        <v>0.16652809308694261</v>
      </c>
      <c r="S18" s="28">
        <f t="shared" si="1"/>
        <v>-5.1528093086942603E-2</v>
      </c>
    </row>
    <row r="19" spans="1:19" ht="15" customHeight="1" x14ac:dyDescent="0.2">
      <c r="A19" s="26"/>
      <c r="B19" s="26"/>
      <c r="C19" s="26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32">
        <v>34886</v>
      </c>
      <c r="Q19" s="33">
        <v>5.3999999999999999E-2</v>
      </c>
      <c r="R19" s="28">
        <f t="shared" si="0"/>
        <v>0.17299924193462601</v>
      </c>
      <c r="S19" s="28">
        <f t="shared" si="1"/>
        <v>-0.11899924193462602</v>
      </c>
    </row>
    <row r="20" spans="1:19" ht="15" customHeight="1" x14ac:dyDescent="0.25">
      <c r="A20" s="140" t="s">
        <v>63</v>
      </c>
      <c r="B20" s="140"/>
      <c r="C20" s="140"/>
      <c r="D20" s="19"/>
      <c r="E20" s="19"/>
      <c r="F20" s="19"/>
      <c r="G20" s="19"/>
      <c r="H20" s="19"/>
      <c r="I20" s="35"/>
      <c r="J20" s="19"/>
      <c r="K20" s="38"/>
      <c r="L20" s="19"/>
      <c r="M20" s="19"/>
      <c r="N20" s="19"/>
      <c r="O20" s="19"/>
      <c r="P20" s="32">
        <v>34988</v>
      </c>
      <c r="Q20" s="33">
        <v>0.36</v>
      </c>
      <c r="R20" s="28">
        <f t="shared" si="0"/>
        <v>0.18025261756609545</v>
      </c>
      <c r="S20" s="28">
        <f t="shared" si="1"/>
        <v>0.17974738243390453</v>
      </c>
    </row>
    <row r="21" spans="1:19" ht="15" customHeight="1" x14ac:dyDescent="0.2">
      <c r="A21" s="118" t="s">
        <v>7</v>
      </c>
      <c r="B21" s="21">
        <f>MIN($S$3:$S$252)</f>
        <v>-0.32008922767223685</v>
      </c>
      <c r="C21" s="5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32">
        <v>35068</v>
      </c>
      <c r="Q21" s="33">
        <v>0.13600000000000001</v>
      </c>
      <c r="R21" s="28">
        <f t="shared" si="0"/>
        <v>0.18594153962999282</v>
      </c>
      <c r="S21" s="28">
        <f t="shared" si="1"/>
        <v>-4.9941539629992815E-2</v>
      </c>
    </row>
    <row r="22" spans="1:19" ht="15" customHeight="1" x14ac:dyDescent="0.2">
      <c r="A22" s="118" t="s">
        <v>8</v>
      </c>
      <c r="B22" s="21">
        <f>MAX($S$3:$S$252)</f>
        <v>0.61802636354645302</v>
      </c>
      <c r="C22" s="5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32">
        <v>35164</v>
      </c>
      <c r="Q22" s="33">
        <v>0.34200000000000003</v>
      </c>
      <c r="R22" s="28">
        <f t="shared" si="0"/>
        <v>0.19276824610666976</v>
      </c>
      <c r="S22" s="28">
        <f t="shared" si="1"/>
        <v>0.14923175389333027</v>
      </c>
    </row>
    <row r="23" spans="1:19" ht="15" customHeight="1" x14ac:dyDescent="0.2">
      <c r="A23" s="118" t="s">
        <v>68</v>
      </c>
      <c r="B23" s="21">
        <f>MEDIAN($S$3:$S$252)</f>
        <v>-6.7648682772720459E-2</v>
      </c>
      <c r="C23" s="5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32">
        <v>35249</v>
      </c>
      <c r="Q23" s="33">
        <v>0.10199999999999999</v>
      </c>
      <c r="R23" s="28">
        <f t="shared" si="0"/>
        <v>0.19881272579956111</v>
      </c>
      <c r="S23" s="28">
        <f t="shared" si="1"/>
        <v>-9.6812725799561114E-2</v>
      </c>
    </row>
    <row r="24" spans="1:19" ht="15" customHeight="1" x14ac:dyDescent="0.2">
      <c r="A24" s="118" t="s">
        <v>73</v>
      </c>
      <c r="B24" s="21">
        <f>AVERAGE($S$3:$S$252)</f>
        <v>-9.4487065925545235E-18</v>
      </c>
      <c r="C24" s="5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2">
        <v>35361</v>
      </c>
      <c r="Q24" s="33">
        <v>6.6000000000000003E-2</v>
      </c>
      <c r="R24" s="28">
        <f t="shared" si="0"/>
        <v>0.20677721668901761</v>
      </c>
      <c r="S24" s="28">
        <f t="shared" si="1"/>
        <v>-0.1407772166890176</v>
      </c>
    </row>
    <row r="25" spans="1:19" ht="15" customHeight="1" x14ac:dyDescent="0.2">
      <c r="A25" s="118" t="s">
        <v>75</v>
      </c>
      <c r="B25" s="23">
        <f>STDEV($S$3:$S$252)</f>
        <v>0.21041799369729033</v>
      </c>
      <c r="C25" s="5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32">
        <v>35443</v>
      </c>
      <c r="Q25" s="33">
        <v>0.113</v>
      </c>
      <c r="R25" s="28">
        <f t="shared" si="0"/>
        <v>0.21260836180451248</v>
      </c>
      <c r="S25" s="28">
        <f t="shared" si="1"/>
        <v>-9.9608361804512477E-2</v>
      </c>
    </row>
    <row r="26" spans="1:19" ht="15" customHeight="1" x14ac:dyDescent="0.25">
      <c r="A26" s="118" t="s">
        <v>92</v>
      </c>
      <c r="B26" s="24">
        <f>((NORMINV(0.83,B24,B25)-B23)-(B23-NORMINV(0.17,B24,B25)))/(NORMINV(0.83,B24,B25)-NORMINV(0.17,B24,B25))</f>
        <v>0.33694023311820787</v>
      </c>
      <c r="C26" s="50"/>
      <c r="D26" s="19"/>
      <c r="E26" s="144"/>
      <c r="F26" s="144"/>
      <c r="G26" s="144"/>
      <c r="H26" s="19"/>
      <c r="I26" s="19"/>
      <c r="J26" s="19"/>
      <c r="K26" s="19"/>
      <c r="L26" s="19"/>
      <c r="M26" s="19"/>
      <c r="N26" s="19"/>
      <c r="O26" s="19"/>
      <c r="P26" s="32">
        <v>35538</v>
      </c>
      <c r="Q26" s="33">
        <v>7.4999999999999997E-2</v>
      </c>
      <c r="R26" s="28">
        <f t="shared" si="0"/>
        <v>0.21936395675539089</v>
      </c>
      <c r="S26" s="28">
        <f t="shared" si="1"/>
        <v>-0.14436395675539088</v>
      </c>
    </row>
    <row r="27" spans="1:19" ht="15" customHeight="1" x14ac:dyDescent="0.2">
      <c r="A27" s="118" t="s">
        <v>85</v>
      </c>
      <c r="B27" s="21">
        <f>NORMINV(0.95,0,B25)</f>
        <v>0.34610680010883987</v>
      </c>
      <c r="C27" s="5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32">
        <v>35622</v>
      </c>
      <c r="Q27" s="33">
        <v>5.8000000000000003E-2</v>
      </c>
      <c r="R27" s="28">
        <f t="shared" si="0"/>
        <v>0.22533732492248282</v>
      </c>
      <c r="S27" s="28">
        <f t="shared" si="1"/>
        <v>-0.16733732492248282</v>
      </c>
    </row>
    <row r="28" spans="1:19" ht="15" customHeight="1" x14ac:dyDescent="0.2">
      <c r="A28" s="118" t="s">
        <v>86</v>
      </c>
      <c r="B28" s="21">
        <f>NORMINV(0.98,0,B25)</f>
        <v>0.4321457253331436</v>
      </c>
      <c r="C28" s="5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32">
        <v>35725</v>
      </c>
      <c r="Q28" s="33">
        <v>8.8999999999999996E-2</v>
      </c>
      <c r="R28" s="28">
        <f t="shared" si="0"/>
        <v>0.23266181207975123</v>
      </c>
      <c r="S28" s="28">
        <f t="shared" si="1"/>
        <v>-0.14366181207975123</v>
      </c>
    </row>
    <row r="29" spans="1:19" ht="15" customHeight="1" x14ac:dyDescent="0.2">
      <c r="A29" s="118" t="s">
        <v>44</v>
      </c>
      <c r="B29" s="20" t="str">
        <f>IF(((B22-B21)/B25)&gt;INDEX(XX!B4:'XX'!B150,B9-3),"ja","nein")</f>
        <v>ja</v>
      </c>
      <c r="C29" s="5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32">
        <v>35803</v>
      </c>
      <c r="Q29" s="33">
        <v>0.11600000000000001</v>
      </c>
      <c r="R29" s="28">
        <f t="shared" si="0"/>
        <v>0.2382085110920511</v>
      </c>
      <c r="S29" s="28">
        <f t="shared" si="1"/>
        <v>-0.12220851109205109</v>
      </c>
    </row>
    <row r="30" spans="1:19" ht="15" customHeight="1" x14ac:dyDescent="0.2">
      <c r="A30" s="26"/>
      <c r="B30" s="26"/>
      <c r="C30" s="26"/>
      <c r="D30" s="19"/>
      <c r="E30" s="47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32">
        <v>35891</v>
      </c>
      <c r="Q30" s="33">
        <v>0.09</v>
      </c>
      <c r="R30" s="28">
        <f t="shared" si="0"/>
        <v>0.24446632536233848</v>
      </c>
      <c r="S30" s="28">
        <f t="shared" si="1"/>
        <v>-0.15446632536233848</v>
      </c>
    </row>
    <row r="31" spans="1:19" ht="15" customHeight="1" x14ac:dyDescent="0.25">
      <c r="A31" s="164" t="s">
        <v>88</v>
      </c>
      <c r="B31" s="164"/>
      <c r="C31" s="164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32">
        <v>35978</v>
      </c>
      <c r="Q31" s="33">
        <v>3.7999999999999999E-2</v>
      </c>
      <c r="R31" s="28">
        <f t="shared" si="0"/>
        <v>0.25065302810682688</v>
      </c>
      <c r="S31" s="28">
        <f t="shared" si="1"/>
        <v>-0.21265302810682687</v>
      </c>
    </row>
    <row r="32" spans="1:19" ht="15" customHeight="1" x14ac:dyDescent="0.2">
      <c r="A32" s="131" t="s">
        <v>89</v>
      </c>
      <c r="B32" s="30">
        <v>600</v>
      </c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32">
        <v>36217</v>
      </c>
      <c r="Q32" s="33">
        <v>0.2</v>
      </c>
      <c r="R32" s="28">
        <f t="shared" si="0"/>
        <v>0.26764868277272047</v>
      </c>
      <c r="S32" s="28">
        <f t="shared" si="1"/>
        <v>-6.7648682772720459E-2</v>
      </c>
    </row>
    <row r="33" spans="1:19" ht="15" customHeight="1" x14ac:dyDescent="0.2">
      <c r="A33" s="26"/>
      <c r="B33" s="26"/>
      <c r="C33" s="26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32">
        <v>36258</v>
      </c>
      <c r="Q33" s="33">
        <v>0.32600000000000001</v>
      </c>
      <c r="R33" s="28">
        <f t="shared" si="0"/>
        <v>0.27056425533046813</v>
      </c>
      <c r="S33" s="28">
        <f t="shared" si="1"/>
        <v>5.5435744669531883E-2</v>
      </c>
    </row>
    <row r="34" spans="1:19" ht="15" customHeight="1" x14ac:dyDescent="0.25">
      <c r="A34" s="140" t="s">
        <v>59</v>
      </c>
      <c r="B34" s="140"/>
      <c r="C34" s="140"/>
      <c r="D34" s="19"/>
      <c r="E34" s="120" t="s">
        <v>60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32">
        <v>36355</v>
      </c>
      <c r="Q34" s="33">
        <v>0.48599999999999999</v>
      </c>
      <c r="R34" s="28">
        <f t="shared" si="0"/>
        <v>0.27746207333294359</v>
      </c>
      <c r="S34" s="28">
        <f t="shared" si="1"/>
        <v>0.20853792666705639</v>
      </c>
    </row>
    <row r="35" spans="1:19" ht="15" customHeight="1" x14ac:dyDescent="0.2">
      <c r="A35" s="131" t="s">
        <v>87</v>
      </c>
      <c r="B35" s="31">
        <v>38353</v>
      </c>
      <c r="C35" s="31">
        <v>39233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32">
        <v>36453</v>
      </c>
      <c r="Q35" s="33">
        <v>0.251</v>
      </c>
      <c r="R35" s="28">
        <f t="shared" si="0"/>
        <v>0.28443100286121803</v>
      </c>
      <c r="S35" s="28">
        <f t="shared" si="1"/>
        <v>-3.3431002861218029E-2</v>
      </c>
    </row>
    <row r="36" spans="1:19" ht="15" customHeight="1" x14ac:dyDescent="0.2">
      <c r="A36" s="118" t="s">
        <v>54</v>
      </c>
      <c r="B36" s="25">
        <f>B35-B32</f>
        <v>37753</v>
      </c>
      <c r="C36" s="25">
        <f>C35-B32</f>
        <v>38633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32">
        <v>36635</v>
      </c>
      <c r="Q36" s="33">
        <v>0.50600000000000001</v>
      </c>
      <c r="R36" s="28">
        <f t="shared" si="0"/>
        <v>0.29737330055658484</v>
      </c>
      <c r="S36" s="28">
        <f t="shared" si="1"/>
        <v>0.20862669944341516</v>
      </c>
    </row>
    <row r="37" spans="1:19" ht="15" customHeight="1" x14ac:dyDescent="0.2">
      <c r="A37" s="26"/>
      <c r="B37" s="26"/>
      <c r="C37" s="27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32">
        <v>36712</v>
      </c>
      <c r="Q37" s="33">
        <v>0.39</v>
      </c>
      <c r="R37" s="28">
        <f t="shared" si="0"/>
        <v>0.30284888804308618</v>
      </c>
      <c r="S37" s="28">
        <f t="shared" si="1"/>
        <v>8.7151111956913829E-2</v>
      </c>
    </row>
    <row r="38" spans="1:19" ht="15" customHeight="1" x14ac:dyDescent="0.25">
      <c r="A38" s="140" t="s">
        <v>90</v>
      </c>
      <c r="B38" s="140"/>
      <c r="C38" s="140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32">
        <v>36811</v>
      </c>
      <c r="Q38" s="33">
        <v>0.42099999999999999</v>
      </c>
      <c r="R38" s="28">
        <f t="shared" si="0"/>
        <v>0.30988892909715959</v>
      </c>
      <c r="S38" s="28">
        <f t="shared" si="1"/>
        <v>0.11111107090284039</v>
      </c>
    </row>
    <row r="39" spans="1:19" ht="15" customHeight="1" x14ac:dyDescent="0.2">
      <c r="A39" s="119" t="s">
        <v>67</v>
      </c>
      <c r="B39" s="21">
        <f>MAX($B$17+$B$18*$B36+$B$28+0.5*$B$6,$B$17+$B$18*$C36+$B$28+0.5*$B$6,$B$6)</f>
        <v>1.2465998544355683</v>
      </c>
      <c r="C39" s="50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32">
        <v>36907</v>
      </c>
      <c r="Q39" s="33">
        <v>6.0000000000000001E-3</v>
      </c>
      <c r="R39" s="28">
        <f t="shared" si="0"/>
        <v>0.31671563557383653</v>
      </c>
      <c r="S39" s="28">
        <f t="shared" si="1"/>
        <v>-0.31071563557383652</v>
      </c>
    </row>
    <row r="40" spans="1:19" ht="15" x14ac:dyDescent="0.2">
      <c r="A40" s="119" t="s">
        <v>61</v>
      </c>
      <c r="B40" s="21">
        <f>INDEX($R$3:$R$252,B9)+$B$28+0.5*$B$6</f>
        <v>1.1951151097572961</v>
      </c>
      <c r="C40" s="50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32">
        <v>36985</v>
      </c>
      <c r="Q40" s="33">
        <v>0.21</v>
      </c>
      <c r="R40" s="28">
        <f t="shared" si="0"/>
        <v>0.3222623345861364</v>
      </c>
      <c r="S40" s="28">
        <f t="shared" si="1"/>
        <v>-0.11226233458613641</v>
      </c>
    </row>
    <row r="41" spans="1:19" ht="15.75" x14ac:dyDescent="0.25">
      <c r="A41" s="117" t="s">
        <v>81</v>
      </c>
      <c r="B41" s="96">
        <f>IF($B$18&gt;0,B39,MAX(B40,B39))</f>
        <v>1.2465998544355683</v>
      </c>
      <c r="C41" s="51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32">
        <v>37082</v>
      </c>
      <c r="Q41" s="33">
        <v>0.58199999999999996</v>
      </c>
      <c r="R41" s="28">
        <f t="shared" si="0"/>
        <v>0.32916015258861231</v>
      </c>
      <c r="S41" s="28">
        <f t="shared" si="1"/>
        <v>0.25283984741138765</v>
      </c>
    </row>
    <row r="42" spans="1:19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32">
        <v>37173</v>
      </c>
      <c r="Q42" s="33">
        <v>0.64800000000000002</v>
      </c>
      <c r="R42" s="28">
        <f t="shared" si="0"/>
        <v>0.33563130143629571</v>
      </c>
      <c r="S42" s="28">
        <f t="shared" si="1"/>
        <v>0.31236869856370431</v>
      </c>
    </row>
    <row r="43" spans="1:19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32">
        <v>37264</v>
      </c>
      <c r="Q43" s="33">
        <v>0.104</v>
      </c>
      <c r="R43" s="28">
        <f t="shared" si="0"/>
        <v>0.34210245028397912</v>
      </c>
      <c r="S43" s="28">
        <f t="shared" si="1"/>
        <v>-0.23810245028397914</v>
      </c>
    </row>
    <row r="44" spans="1:19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32">
        <v>37348</v>
      </c>
      <c r="Q44" s="33">
        <v>0.872</v>
      </c>
      <c r="R44" s="28">
        <f t="shared" si="0"/>
        <v>0.34807581845107149</v>
      </c>
      <c r="S44" s="28">
        <f t="shared" si="1"/>
        <v>0.5239241815489285</v>
      </c>
    </row>
    <row r="45" spans="1:19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32">
        <v>37445</v>
      </c>
      <c r="Q45" s="33">
        <v>0.97299999999999998</v>
      </c>
      <c r="R45" s="28">
        <f t="shared" si="0"/>
        <v>0.35497363645354696</v>
      </c>
      <c r="S45" s="28">
        <f t="shared" si="1"/>
        <v>0.61802636354645302</v>
      </c>
    </row>
    <row r="46" spans="1:19" x14ac:dyDescent="0.2">
      <c r="A46" s="19"/>
      <c r="B46" s="37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32">
        <v>37531</v>
      </c>
      <c r="Q46" s="33">
        <v>4.1000000000000002E-2</v>
      </c>
      <c r="R46" s="28">
        <f t="shared" si="0"/>
        <v>0.36108922767223683</v>
      </c>
      <c r="S46" s="28">
        <f t="shared" si="1"/>
        <v>-0.32008922767223685</v>
      </c>
    </row>
    <row r="47" spans="1:19" x14ac:dyDescent="0.2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32">
        <v>37712</v>
      </c>
      <c r="Q47" s="33">
        <v>0.11899999999999999</v>
      </c>
      <c r="R47" s="28">
        <f t="shared" si="0"/>
        <v>0.37396041384180512</v>
      </c>
      <c r="S47" s="28">
        <f t="shared" si="1"/>
        <v>-0.25496041384180512</v>
      </c>
    </row>
    <row r="48" spans="1:19" x14ac:dyDescent="0.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32">
        <v>37811</v>
      </c>
      <c r="Q48" s="33">
        <v>0.29199999999999998</v>
      </c>
      <c r="R48" s="28">
        <f t="shared" ref="R48:R79" si="2">IF($P48&gt;0,$B$17+$B$18*$P48)</f>
        <v>0.38100045489587808</v>
      </c>
      <c r="S48" s="28">
        <f t="shared" ref="S48:S79" si="3">IF($P48&gt;0,$Q48-$R48)</f>
        <v>-8.9000454895878101E-2</v>
      </c>
    </row>
    <row r="49" spans="1:19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32">
        <v>37909</v>
      </c>
      <c r="Q49" s="33">
        <v>0.26500000000000001</v>
      </c>
      <c r="R49" s="28">
        <f t="shared" si="2"/>
        <v>0.38796938442415252</v>
      </c>
      <c r="S49" s="28">
        <f t="shared" si="3"/>
        <v>-0.12296938442415251</v>
      </c>
    </row>
    <row r="50" spans="1:19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32"/>
      <c r="Q50" s="33"/>
      <c r="R50" s="28" t="b">
        <f t="shared" si="2"/>
        <v>0</v>
      </c>
      <c r="S50" s="28" t="b">
        <f t="shared" si="3"/>
        <v>0</v>
      </c>
    </row>
    <row r="51" spans="1:19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32"/>
      <c r="Q51" s="33"/>
      <c r="R51" s="28" t="b">
        <f t="shared" si="2"/>
        <v>0</v>
      </c>
      <c r="S51" s="28" t="b">
        <f t="shared" si="3"/>
        <v>0</v>
      </c>
    </row>
    <row r="52" spans="1:19" x14ac:dyDescent="0.2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32"/>
      <c r="Q52" s="33"/>
      <c r="R52" s="28" t="b">
        <f t="shared" si="2"/>
        <v>0</v>
      </c>
      <c r="S52" s="28" t="b">
        <f t="shared" si="3"/>
        <v>0</v>
      </c>
    </row>
    <row r="53" spans="1:19" x14ac:dyDescent="0.2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32"/>
      <c r="Q53" s="33"/>
      <c r="R53" s="28" t="b">
        <f t="shared" si="2"/>
        <v>0</v>
      </c>
      <c r="S53" s="28" t="b">
        <f t="shared" si="3"/>
        <v>0</v>
      </c>
    </row>
    <row r="54" spans="1:19" x14ac:dyDescent="0.2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32"/>
      <c r="Q54" s="33"/>
      <c r="R54" s="28" t="b">
        <f t="shared" si="2"/>
        <v>0</v>
      </c>
      <c r="S54" s="28" t="b">
        <f t="shared" si="3"/>
        <v>0</v>
      </c>
    </row>
    <row r="55" spans="1:19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32"/>
      <c r="Q55" s="33"/>
      <c r="R55" s="28" t="b">
        <f t="shared" si="2"/>
        <v>0</v>
      </c>
      <c r="S55" s="28" t="b">
        <f t="shared" si="3"/>
        <v>0</v>
      </c>
    </row>
    <row r="56" spans="1:19" x14ac:dyDescent="0.2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32"/>
      <c r="Q56" s="33"/>
      <c r="R56" s="28" t="b">
        <f t="shared" si="2"/>
        <v>0</v>
      </c>
      <c r="S56" s="28" t="b">
        <f t="shared" si="3"/>
        <v>0</v>
      </c>
    </row>
    <row r="57" spans="1:19" x14ac:dyDescent="0.2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32"/>
      <c r="Q57" s="33"/>
      <c r="R57" s="28" t="b">
        <f t="shared" si="2"/>
        <v>0</v>
      </c>
      <c r="S57" s="28" t="b">
        <f t="shared" si="3"/>
        <v>0</v>
      </c>
    </row>
    <row r="58" spans="1:19" x14ac:dyDescent="0.2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32"/>
      <c r="Q58" s="33"/>
      <c r="R58" s="28" t="b">
        <f t="shared" si="2"/>
        <v>0</v>
      </c>
      <c r="S58" s="28" t="b">
        <f t="shared" si="3"/>
        <v>0</v>
      </c>
    </row>
    <row r="59" spans="1:19" x14ac:dyDescent="0.2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32"/>
      <c r="Q59" s="33"/>
      <c r="R59" s="28" t="b">
        <f t="shared" si="2"/>
        <v>0</v>
      </c>
      <c r="S59" s="28" t="b">
        <f t="shared" si="3"/>
        <v>0</v>
      </c>
    </row>
    <row r="60" spans="1:19" x14ac:dyDescent="0.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32"/>
      <c r="Q60" s="33"/>
      <c r="R60" s="28" t="b">
        <f t="shared" si="2"/>
        <v>0</v>
      </c>
      <c r="S60" s="28" t="b">
        <f t="shared" si="3"/>
        <v>0</v>
      </c>
    </row>
    <row r="61" spans="1:19" x14ac:dyDescent="0.2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32"/>
      <c r="Q61" s="33"/>
      <c r="R61" s="28" t="b">
        <f t="shared" si="2"/>
        <v>0</v>
      </c>
      <c r="S61" s="28" t="b">
        <f t="shared" si="3"/>
        <v>0</v>
      </c>
    </row>
    <row r="62" spans="1:19" x14ac:dyDescent="0.2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32"/>
      <c r="Q62" s="33"/>
      <c r="R62" s="28" t="b">
        <f t="shared" si="2"/>
        <v>0</v>
      </c>
      <c r="S62" s="28" t="b">
        <f t="shared" si="3"/>
        <v>0</v>
      </c>
    </row>
    <row r="63" spans="1:19" x14ac:dyDescent="0.2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32"/>
      <c r="Q63" s="33"/>
      <c r="R63" s="28" t="b">
        <f t="shared" si="2"/>
        <v>0</v>
      </c>
      <c r="S63" s="28" t="b">
        <f t="shared" si="3"/>
        <v>0</v>
      </c>
    </row>
    <row r="64" spans="1:19" x14ac:dyDescent="0.2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32"/>
      <c r="Q64" s="33"/>
      <c r="R64" s="28" t="b">
        <f t="shared" si="2"/>
        <v>0</v>
      </c>
      <c r="S64" s="28" t="b">
        <f t="shared" si="3"/>
        <v>0</v>
      </c>
    </row>
    <row r="65" spans="1:19" x14ac:dyDescent="0.2">
      <c r="A65" s="19"/>
      <c r="B65" s="19"/>
      <c r="C65" s="19"/>
      <c r="D65" s="19"/>
      <c r="E65" s="39"/>
      <c r="F65" s="39"/>
      <c r="G65" s="39"/>
      <c r="H65" s="39"/>
      <c r="I65" s="39"/>
      <c r="J65" s="39"/>
      <c r="K65" s="39"/>
      <c r="L65" s="40"/>
      <c r="M65" s="19"/>
      <c r="N65" s="19"/>
      <c r="O65" s="19"/>
      <c r="P65" s="32"/>
      <c r="Q65" s="33"/>
      <c r="R65" s="28" t="b">
        <f t="shared" si="2"/>
        <v>0</v>
      </c>
      <c r="S65" s="28" t="b">
        <f t="shared" si="3"/>
        <v>0</v>
      </c>
    </row>
    <row r="66" spans="1:19" x14ac:dyDescent="0.2">
      <c r="A66" s="19"/>
      <c r="B66" s="19"/>
      <c r="C66" s="19"/>
      <c r="D66" s="19"/>
      <c r="E66" s="39"/>
      <c r="F66" s="39"/>
      <c r="G66" s="39"/>
      <c r="H66" s="39"/>
      <c r="I66" s="39"/>
      <c r="J66" s="39"/>
      <c r="K66" s="39"/>
      <c r="L66" s="40"/>
      <c r="M66" s="19"/>
      <c r="N66" s="19"/>
      <c r="O66" s="19"/>
      <c r="P66" s="32"/>
      <c r="Q66" s="33"/>
      <c r="R66" s="28" t="b">
        <f t="shared" si="2"/>
        <v>0</v>
      </c>
      <c r="S66" s="28" t="b">
        <f t="shared" si="3"/>
        <v>0</v>
      </c>
    </row>
    <row r="67" spans="1:19" x14ac:dyDescent="0.2">
      <c r="A67" s="19"/>
      <c r="B67" s="19"/>
      <c r="C67" s="19"/>
      <c r="D67" s="19"/>
      <c r="E67" s="39"/>
      <c r="F67" s="39"/>
      <c r="G67" s="39"/>
      <c r="H67" s="39"/>
      <c r="I67" s="39"/>
      <c r="J67" s="39"/>
      <c r="K67" s="39"/>
      <c r="L67" s="40"/>
      <c r="M67" s="19"/>
      <c r="N67" s="19"/>
      <c r="O67" s="19"/>
      <c r="P67" s="32"/>
      <c r="Q67" s="33"/>
      <c r="R67" s="28" t="b">
        <f t="shared" si="2"/>
        <v>0</v>
      </c>
      <c r="S67" s="28" t="b">
        <f t="shared" si="3"/>
        <v>0</v>
      </c>
    </row>
    <row r="68" spans="1:19" x14ac:dyDescent="0.2">
      <c r="A68" s="19"/>
      <c r="B68" s="19"/>
      <c r="C68" s="19"/>
      <c r="D68" s="19"/>
      <c r="E68" s="39"/>
      <c r="F68" s="39"/>
      <c r="G68" s="39"/>
      <c r="H68" s="39"/>
      <c r="I68" s="39"/>
      <c r="J68" s="39"/>
      <c r="K68" s="39"/>
      <c r="L68" s="40"/>
      <c r="M68" s="19"/>
      <c r="N68" s="19"/>
      <c r="O68" s="19"/>
      <c r="P68" s="32"/>
      <c r="Q68" s="33"/>
      <c r="R68" s="28" t="b">
        <f t="shared" si="2"/>
        <v>0</v>
      </c>
      <c r="S68" s="28" t="b">
        <f t="shared" si="3"/>
        <v>0</v>
      </c>
    </row>
    <row r="69" spans="1:19" x14ac:dyDescent="0.2">
      <c r="A69" s="19"/>
      <c r="B69" s="19"/>
      <c r="C69" s="19"/>
      <c r="D69" s="19"/>
      <c r="E69" s="39"/>
      <c r="F69" s="39"/>
      <c r="G69" s="39"/>
      <c r="H69" s="39"/>
      <c r="I69" s="39"/>
      <c r="J69" s="39"/>
      <c r="K69" s="39"/>
      <c r="L69" s="40"/>
      <c r="M69" s="19"/>
      <c r="N69" s="19"/>
      <c r="O69" s="19"/>
      <c r="P69" s="32"/>
      <c r="Q69" s="33"/>
      <c r="R69" s="28" t="b">
        <f t="shared" si="2"/>
        <v>0</v>
      </c>
      <c r="S69" s="28" t="b">
        <f t="shared" si="3"/>
        <v>0</v>
      </c>
    </row>
    <row r="70" spans="1:19" x14ac:dyDescent="0.2">
      <c r="A70" s="19"/>
      <c r="B70" s="19"/>
      <c r="C70" s="19"/>
      <c r="D70" s="19"/>
      <c r="E70" s="39"/>
      <c r="F70" s="39"/>
      <c r="G70" s="39"/>
      <c r="H70" s="39"/>
      <c r="I70" s="39"/>
      <c r="J70" s="39"/>
      <c r="K70" s="39"/>
      <c r="L70" s="40"/>
      <c r="M70" s="19"/>
      <c r="N70" s="19"/>
      <c r="O70" s="19"/>
      <c r="P70" s="32"/>
      <c r="Q70" s="33"/>
      <c r="R70" s="28" t="b">
        <f t="shared" si="2"/>
        <v>0</v>
      </c>
      <c r="S70" s="28" t="b">
        <f t="shared" si="3"/>
        <v>0</v>
      </c>
    </row>
    <row r="71" spans="1:19" x14ac:dyDescent="0.2">
      <c r="A71" s="19"/>
      <c r="B71" s="19"/>
      <c r="C71" s="19"/>
      <c r="D71" s="19"/>
      <c r="E71" s="39"/>
      <c r="F71" s="39"/>
      <c r="G71" s="39"/>
      <c r="H71" s="39"/>
      <c r="I71" s="39"/>
      <c r="J71" s="39"/>
      <c r="K71" s="39"/>
      <c r="L71" s="40"/>
      <c r="M71" s="19"/>
      <c r="N71" s="19"/>
      <c r="O71" s="19"/>
      <c r="P71" s="32"/>
      <c r="Q71" s="33"/>
      <c r="R71" s="28" t="b">
        <f t="shared" si="2"/>
        <v>0</v>
      </c>
      <c r="S71" s="28" t="b">
        <f t="shared" si="3"/>
        <v>0</v>
      </c>
    </row>
    <row r="72" spans="1:19" x14ac:dyDescent="0.2">
      <c r="A72" s="19"/>
      <c r="B72" s="19"/>
      <c r="C72" s="19"/>
      <c r="D72" s="19"/>
      <c r="E72" s="39"/>
      <c r="F72" s="39"/>
      <c r="G72" s="39"/>
      <c r="H72" s="39"/>
      <c r="I72" s="39"/>
      <c r="J72" s="39"/>
      <c r="K72" s="39"/>
      <c r="L72" s="40"/>
      <c r="M72" s="19"/>
      <c r="N72" s="19"/>
      <c r="O72" s="19"/>
      <c r="P72" s="32"/>
      <c r="Q72" s="33"/>
      <c r="R72" s="28" t="b">
        <f t="shared" si="2"/>
        <v>0</v>
      </c>
      <c r="S72" s="28" t="b">
        <f t="shared" si="3"/>
        <v>0</v>
      </c>
    </row>
    <row r="73" spans="1:19" x14ac:dyDescent="0.2">
      <c r="A73" s="19"/>
      <c r="B73" s="19"/>
      <c r="C73" s="19"/>
      <c r="D73" s="19"/>
      <c r="E73" s="39"/>
      <c r="F73" s="39"/>
      <c r="G73" s="39"/>
      <c r="H73" s="39"/>
      <c r="I73" s="39"/>
      <c r="J73" s="39"/>
      <c r="K73" s="39"/>
      <c r="L73" s="40"/>
      <c r="M73" s="19"/>
      <c r="N73" s="19"/>
      <c r="O73" s="19"/>
      <c r="P73" s="32"/>
      <c r="Q73" s="33"/>
      <c r="R73" s="28" t="b">
        <f t="shared" si="2"/>
        <v>0</v>
      </c>
      <c r="S73" s="28" t="b">
        <f t="shared" si="3"/>
        <v>0</v>
      </c>
    </row>
    <row r="74" spans="1:19" x14ac:dyDescent="0.2">
      <c r="A74" s="19"/>
      <c r="B74" s="19"/>
      <c r="C74" s="19"/>
      <c r="D74" s="19"/>
      <c r="E74" s="39"/>
      <c r="F74" s="39"/>
      <c r="G74" s="39"/>
      <c r="H74" s="39"/>
      <c r="I74" s="39"/>
      <c r="J74" s="39"/>
      <c r="K74" s="39"/>
      <c r="L74" s="40"/>
      <c r="M74" s="19"/>
      <c r="N74" s="19"/>
      <c r="O74" s="19"/>
      <c r="P74" s="32"/>
      <c r="Q74" s="33"/>
      <c r="R74" s="28" t="b">
        <f t="shared" si="2"/>
        <v>0</v>
      </c>
      <c r="S74" s="28" t="b">
        <f t="shared" si="3"/>
        <v>0</v>
      </c>
    </row>
    <row r="75" spans="1:19" x14ac:dyDescent="0.2">
      <c r="A75" s="19"/>
      <c r="B75" s="19"/>
      <c r="C75" s="19"/>
      <c r="D75" s="19"/>
      <c r="E75" s="39"/>
      <c r="F75" s="39"/>
      <c r="G75" s="39"/>
      <c r="H75" s="39"/>
      <c r="I75" s="39"/>
      <c r="J75" s="39"/>
      <c r="K75" s="39"/>
      <c r="L75" s="40"/>
      <c r="M75" s="19"/>
      <c r="N75" s="19"/>
      <c r="O75" s="19"/>
      <c r="P75" s="32"/>
      <c r="Q75" s="33"/>
      <c r="R75" s="28" t="b">
        <f t="shared" si="2"/>
        <v>0</v>
      </c>
      <c r="S75" s="28" t="b">
        <f t="shared" si="3"/>
        <v>0</v>
      </c>
    </row>
    <row r="76" spans="1:19" x14ac:dyDescent="0.2">
      <c r="A76" s="19"/>
      <c r="B76" s="19"/>
      <c r="C76" s="19"/>
      <c r="D76" s="19"/>
      <c r="E76" s="39"/>
      <c r="F76" s="39"/>
      <c r="G76" s="39"/>
      <c r="H76" s="39"/>
      <c r="I76" s="39"/>
      <c r="J76" s="39"/>
      <c r="K76" s="39"/>
      <c r="L76" s="40"/>
      <c r="M76" s="19"/>
      <c r="N76" s="19"/>
      <c r="O76" s="19"/>
      <c r="P76" s="32"/>
      <c r="Q76" s="33"/>
      <c r="R76" s="28" t="b">
        <f t="shared" si="2"/>
        <v>0</v>
      </c>
      <c r="S76" s="28" t="b">
        <f t="shared" si="3"/>
        <v>0</v>
      </c>
    </row>
    <row r="77" spans="1:19" x14ac:dyDescent="0.2">
      <c r="A77" s="19"/>
      <c r="B77" s="19"/>
      <c r="C77" s="19"/>
      <c r="D77" s="19"/>
      <c r="E77" s="45"/>
      <c r="F77" s="39"/>
      <c r="G77" s="39"/>
      <c r="H77" s="39"/>
      <c r="I77" s="19"/>
      <c r="J77" s="19"/>
      <c r="K77" s="41"/>
      <c r="L77" s="40"/>
      <c r="M77" s="19"/>
      <c r="N77" s="19"/>
      <c r="O77" s="19"/>
      <c r="P77" s="32"/>
      <c r="Q77" s="33"/>
      <c r="R77" s="28" t="b">
        <f t="shared" si="2"/>
        <v>0</v>
      </c>
      <c r="S77" s="28" t="b">
        <f t="shared" si="3"/>
        <v>0</v>
      </c>
    </row>
    <row r="78" spans="1:19" x14ac:dyDescent="0.2">
      <c r="A78" s="19"/>
      <c r="B78" s="19"/>
      <c r="C78" s="19"/>
      <c r="D78" s="19"/>
      <c r="E78" s="45"/>
      <c r="F78" s="39"/>
      <c r="G78" s="39"/>
      <c r="H78" s="39"/>
      <c r="I78" s="42"/>
      <c r="J78" s="43"/>
      <c r="K78" s="41"/>
      <c r="L78" s="40"/>
      <c r="M78" s="19"/>
      <c r="N78" s="19"/>
      <c r="O78" s="19"/>
      <c r="P78" s="32"/>
      <c r="Q78" s="33"/>
      <c r="R78" s="28" t="b">
        <f t="shared" si="2"/>
        <v>0</v>
      </c>
      <c r="S78" s="28" t="b">
        <f t="shared" si="3"/>
        <v>0</v>
      </c>
    </row>
    <row r="79" spans="1:19" x14ac:dyDescent="0.2">
      <c r="A79" s="19"/>
      <c r="B79" s="19"/>
      <c r="C79" s="19"/>
      <c r="D79" s="19"/>
      <c r="E79" s="45"/>
      <c r="F79" s="39"/>
      <c r="G79" s="39"/>
      <c r="H79" s="39"/>
      <c r="I79" s="42"/>
      <c r="J79" s="43"/>
      <c r="K79" s="41"/>
      <c r="L79" s="40"/>
      <c r="M79" s="19"/>
      <c r="N79" s="19"/>
      <c r="O79" s="19"/>
      <c r="P79" s="32"/>
      <c r="Q79" s="33"/>
      <c r="R79" s="28" t="b">
        <f t="shared" si="2"/>
        <v>0</v>
      </c>
      <c r="S79" s="28" t="b">
        <f t="shared" si="3"/>
        <v>0</v>
      </c>
    </row>
    <row r="80" spans="1:19" x14ac:dyDescent="0.2">
      <c r="A80" s="19"/>
      <c r="B80" s="19"/>
      <c r="C80" s="19"/>
      <c r="D80" s="19"/>
      <c r="E80" s="45"/>
      <c r="F80" s="39"/>
      <c r="G80" s="39"/>
      <c r="H80" s="39"/>
      <c r="I80" s="42"/>
      <c r="J80" s="43"/>
      <c r="K80" s="41"/>
      <c r="L80" s="40"/>
      <c r="M80" s="19"/>
      <c r="N80" s="19"/>
      <c r="O80" s="19"/>
      <c r="P80" s="32"/>
      <c r="Q80" s="33"/>
      <c r="R80" s="28" t="b">
        <f t="shared" ref="R80:R111" si="4">IF($P80&gt;0,$B$17+$B$18*$P80)</f>
        <v>0</v>
      </c>
      <c r="S80" s="28" t="b">
        <f t="shared" ref="S80:S111" si="5">IF($P80&gt;0,$Q80-$R80)</f>
        <v>0</v>
      </c>
    </row>
    <row r="81" spans="1:19" x14ac:dyDescent="0.2">
      <c r="A81" s="19"/>
      <c r="B81" s="19"/>
      <c r="C81" s="19"/>
      <c r="D81" s="19"/>
      <c r="E81" s="46"/>
      <c r="F81" s="39"/>
      <c r="G81" s="39"/>
      <c r="H81" s="39"/>
      <c r="I81" s="43"/>
      <c r="J81" s="43"/>
      <c r="K81" s="26"/>
      <c r="L81" s="26"/>
      <c r="M81" s="19"/>
      <c r="N81" s="19"/>
      <c r="O81" s="19"/>
      <c r="P81" s="32"/>
      <c r="Q81" s="33"/>
      <c r="R81" s="28" t="b">
        <f t="shared" si="4"/>
        <v>0</v>
      </c>
      <c r="S81" s="28" t="b">
        <f t="shared" si="5"/>
        <v>0</v>
      </c>
    </row>
    <row r="82" spans="1:19" x14ac:dyDescent="0.2">
      <c r="A82" s="19"/>
      <c r="B82" s="19"/>
      <c r="C82" s="19"/>
      <c r="D82" s="19"/>
      <c r="E82" s="26"/>
      <c r="F82" s="39"/>
      <c r="G82" s="39"/>
      <c r="H82" s="39"/>
      <c r="I82" s="26"/>
      <c r="J82" s="26"/>
      <c r="K82" s="26"/>
      <c r="L82" s="26"/>
      <c r="M82" s="19"/>
      <c r="N82" s="19"/>
      <c r="O82" s="19"/>
      <c r="P82" s="32"/>
      <c r="Q82" s="33"/>
      <c r="R82" s="28" t="b">
        <f t="shared" si="4"/>
        <v>0</v>
      </c>
      <c r="S82" s="28" t="b">
        <f t="shared" si="5"/>
        <v>0</v>
      </c>
    </row>
    <row r="83" spans="1:19" x14ac:dyDescent="0.2">
      <c r="A83" s="19"/>
      <c r="B83" s="19"/>
      <c r="C83" s="19"/>
      <c r="D83" s="19"/>
      <c r="E83" s="26"/>
      <c r="F83" s="39"/>
      <c r="G83" s="39"/>
      <c r="H83" s="39"/>
      <c r="I83" s="26"/>
      <c r="J83" s="26"/>
      <c r="K83" s="26"/>
      <c r="L83" s="26"/>
      <c r="M83" s="19"/>
      <c r="N83" s="19"/>
      <c r="O83" s="19"/>
      <c r="P83" s="32"/>
      <c r="Q83" s="33"/>
      <c r="R83" s="28" t="b">
        <f t="shared" si="4"/>
        <v>0</v>
      </c>
      <c r="S83" s="28" t="b">
        <f t="shared" si="5"/>
        <v>0</v>
      </c>
    </row>
    <row r="84" spans="1:19" x14ac:dyDescent="0.2">
      <c r="A84" s="19"/>
      <c r="B84" s="19"/>
      <c r="C84" s="19"/>
      <c r="D84" s="19"/>
      <c r="E84" s="19"/>
      <c r="F84" s="39"/>
      <c r="G84" s="39"/>
      <c r="H84" s="39"/>
      <c r="I84" s="19"/>
      <c r="J84" s="19"/>
      <c r="K84" s="19"/>
      <c r="L84" s="19"/>
      <c r="M84" s="19"/>
      <c r="N84" s="19"/>
      <c r="O84" s="19"/>
      <c r="P84" s="32"/>
      <c r="Q84" s="33"/>
      <c r="R84" s="28" t="b">
        <f t="shared" si="4"/>
        <v>0</v>
      </c>
      <c r="S84" s="28" t="b">
        <f t="shared" si="5"/>
        <v>0</v>
      </c>
    </row>
    <row r="85" spans="1:19" x14ac:dyDescent="0.2">
      <c r="A85" s="19"/>
      <c r="B85" s="19"/>
      <c r="C85" s="19"/>
      <c r="D85" s="19"/>
      <c r="E85" s="19"/>
      <c r="F85" s="39"/>
      <c r="G85" s="39"/>
      <c r="H85" s="39"/>
      <c r="I85" s="19"/>
      <c r="J85" s="19"/>
      <c r="K85" s="19"/>
      <c r="L85" s="19"/>
      <c r="M85" s="19"/>
      <c r="N85" s="19"/>
      <c r="O85" s="19"/>
      <c r="P85" s="32"/>
      <c r="Q85" s="33"/>
      <c r="R85" s="28" t="b">
        <f t="shared" si="4"/>
        <v>0</v>
      </c>
      <c r="S85" s="28" t="b">
        <f t="shared" si="5"/>
        <v>0</v>
      </c>
    </row>
    <row r="86" spans="1:19" x14ac:dyDescent="0.2">
      <c r="A86" s="19"/>
      <c r="B86" s="19"/>
      <c r="C86" s="19"/>
      <c r="D86" s="19"/>
      <c r="E86" s="19"/>
      <c r="F86" s="39"/>
      <c r="G86" s="39"/>
      <c r="H86" s="39"/>
      <c r="I86" s="19"/>
      <c r="J86" s="19"/>
      <c r="K86" s="19"/>
      <c r="L86" s="19"/>
      <c r="M86" s="19"/>
      <c r="N86" s="19"/>
      <c r="O86" s="19"/>
      <c r="P86" s="32"/>
      <c r="Q86" s="33"/>
      <c r="R86" s="28" t="b">
        <f t="shared" si="4"/>
        <v>0</v>
      </c>
      <c r="S86" s="28" t="b">
        <f t="shared" si="5"/>
        <v>0</v>
      </c>
    </row>
    <row r="87" spans="1:19" x14ac:dyDescent="0.2">
      <c r="A87" s="19"/>
      <c r="B87" s="19"/>
      <c r="C87" s="19"/>
      <c r="D87" s="19"/>
      <c r="E87" s="19"/>
      <c r="F87" s="39"/>
      <c r="G87" s="39"/>
      <c r="H87" s="39"/>
      <c r="I87" s="19"/>
      <c r="J87" s="19"/>
      <c r="K87" s="19"/>
      <c r="L87" s="19"/>
      <c r="M87" s="19"/>
      <c r="N87" s="19"/>
      <c r="O87" s="19"/>
      <c r="P87" s="32"/>
      <c r="Q87" s="33"/>
      <c r="R87" s="28" t="b">
        <f t="shared" si="4"/>
        <v>0</v>
      </c>
      <c r="S87" s="28" t="b">
        <f t="shared" si="5"/>
        <v>0</v>
      </c>
    </row>
    <row r="88" spans="1:19" x14ac:dyDescent="0.2">
      <c r="A88" s="19"/>
      <c r="B88" s="19"/>
      <c r="C88" s="19"/>
      <c r="D88" s="19"/>
      <c r="E88" s="19"/>
      <c r="F88" s="39"/>
      <c r="G88" s="39"/>
      <c r="H88" s="39"/>
      <c r="I88" s="19"/>
      <c r="J88" s="19"/>
      <c r="K88" s="19"/>
      <c r="L88" s="19"/>
      <c r="M88" s="19"/>
      <c r="N88" s="19"/>
      <c r="O88" s="19"/>
      <c r="P88" s="32"/>
      <c r="Q88" s="33"/>
      <c r="R88" s="28" t="b">
        <f t="shared" si="4"/>
        <v>0</v>
      </c>
      <c r="S88" s="28" t="b">
        <f t="shared" si="5"/>
        <v>0</v>
      </c>
    </row>
    <row r="89" spans="1:19" x14ac:dyDescent="0.2">
      <c r="A89" s="19"/>
      <c r="B89" s="19"/>
      <c r="C89" s="19"/>
      <c r="D89" s="19"/>
      <c r="E89" s="19"/>
      <c r="F89" s="39"/>
      <c r="G89" s="39"/>
      <c r="H89" s="39"/>
      <c r="I89" s="19"/>
      <c r="J89" s="19"/>
      <c r="K89" s="19"/>
      <c r="L89" s="19"/>
      <c r="M89" s="19"/>
      <c r="N89" s="19"/>
      <c r="O89" s="19"/>
      <c r="P89" s="32"/>
      <c r="Q89" s="33"/>
      <c r="R89" s="28" t="b">
        <f t="shared" si="4"/>
        <v>0</v>
      </c>
      <c r="S89" s="28" t="b">
        <f t="shared" si="5"/>
        <v>0</v>
      </c>
    </row>
    <row r="90" spans="1:19" x14ac:dyDescent="0.2">
      <c r="A90" s="19"/>
      <c r="B90" s="19"/>
      <c r="C90" s="19"/>
      <c r="D90" s="19"/>
      <c r="E90" s="19"/>
      <c r="F90" s="39"/>
      <c r="G90" s="39"/>
      <c r="H90" s="39"/>
      <c r="I90" s="19"/>
      <c r="J90" s="19"/>
      <c r="K90" s="19"/>
      <c r="L90" s="19"/>
      <c r="M90" s="19"/>
      <c r="N90" s="19"/>
      <c r="O90" s="19"/>
      <c r="P90" s="32"/>
      <c r="Q90" s="33"/>
      <c r="R90" s="28" t="b">
        <f t="shared" si="4"/>
        <v>0</v>
      </c>
      <c r="S90" s="28" t="b">
        <f t="shared" si="5"/>
        <v>0</v>
      </c>
    </row>
    <row r="91" spans="1:19" x14ac:dyDescent="0.2">
      <c r="A91" s="19"/>
      <c r="B91" s="19"/>
      <c r="C91" s="19"/>
      <c r="D91" s="19"/>
      <c r="E91" s="19"/>
      <c r="F91" s="39"/>
      <c r="G91" s="39"/>
      <c r="H91" s="39"/>
      <c r="I91" s="19"/>
      <c r="J91" s="19"/>
      <c r="K91" s="19"/>
      <c r="L91" s="19"/>
      <c r="M91" s="19"/>
      <c r="N91" s="19"/>
      <c r="O91" s="19"/>
      <c r="P91" s="32"/>
      <c r="Q91" s="33"/>
      <c r="R91" s="28" t="b">
        <f t="shared" si="4"/>
        <v>0</v>
      </c>
      <c r="S91" s="28" t="b">
        <f t="shared" si="5"/>
        <v>0</v>
      </c>
    </row>
    <row r="92" spans="1:19" x14ac:dyDescent="0.2">
      <c r="A92" s="19"/>
      <c r="B92" s="19"/>
      <c r="C92" s="19"/>
      <c r="D92" s="19"/>
      <c r="E92" s="19"/>
      <c r="F92" s="39"/>
      <c r="G92" s="39"/>
      <c r="H92" s="39"/>
      <c r="I92" s="19"/>
      <c r="J92" s="19"/>
      <c r="K92" s="19"/>
      <c r="L92" s="19"/>
      <c r="M92" s="19"/>
      <c r="N92" s="19"/>
      <c r="O92" s="19"/>
      <c r="P92" s="32"/>
      <c r="Q92" s="33"/>
      <c r="R92" s="28" t="b">
        <f t="shared" si="4"/>
        <v>0</v>
      </c>
      <c r="S92" s="28" t="b">
        <f t="shared" si="5"/>
        <v>0</v>
      </c>
    </row>
    <row r="93" spans="1:19" x14ac:dyDescent="0.2">
      <c r="A93" s="19"/>
      <c r="B93" s="19"/>
      <c r="C93" s="19"/>
      <c r="D93" s="19"/>
      <c r="E93" s="19"/>
      <c r="F93" s="39"/>
      <c r="G93" s="39"/>
      <c r="H93" s="39"/>
      <c r="I93" s="19"/>
      <c r="J93" s="19"/>
      <c r="K93" s="19"/>
      <c r="L93" s="19"/>
      <c r="M93" s="19"/>
      <c r="N93" s="19"/>
      <c r="O93" s="19"/>
      <c r="P93" s="32"/>
      <c r="Q93" s="33"/>
      <c r="R93" s="28" t="b">
        <f t="shared" si="4"/>
        <v>0</v>
      </c>
      <c r="S93" s="28" t="b">
        <f t="shared" si="5"/>
        <v>0</v>
      </c>
    </row>
    <row r="94" spans="1:19" x14ac:dyDescent="0.2">
      <c r="A94" s="19"/>
      <c r="B94" s="19"/>
      <c r="C94" s="19"/>
      <c r="D94" s="19"/>
      <c r="E94" s="19"/>
      <c r="F94" s="39"/>
      <c r="G94" s="39"/>
      <c r="H94" s="39"/>
      <c r="I94" s="44"/>
      <c r="J94" s="44"/>
      <c r="K94" s="19"/>
      <c r="L94" s="19"/>
      <c r="M94" s="19"/>
      <c r="N94" s="19"/>
      <c r="O94" s="19"/>
      <c r="P94" s="32"/>
      <c r="Q94" s="33"/>
      <c r="R94" s="28" t="b">
        <f t="shared" si="4"/>
        <v>0</v>
      </c>
      <c r="S94" s="28" t="b">
        <f t="shared" si="5"/>
        <v>0</v>
      </c>
    </row>
    <row r="95" spans="1:19" x14ac:dyDescent="0.2">
      <c r="A95" s="19"/>
      <c r="B95" s="19"/>
      <c r="C95" s="19"/>
      <c r="D95" s="19"/>
      <c r="E95" s="19"/>
      <c r="F95" s="39"/>
      <c r="G95" s="39"/>
      <c r="H95" s="39"/>
      <c r="I95" s="19"/>
      <c r="J95" s="19"/>
      <c r="K95" s="19"/>
      <c r="L95" s="19"/>
      <c r="M95" s="19"/>
      <c r="N95" s="19"/>
      <c r="O95" s="19"/>
      <c r="P95" s="32"/>
      <c r="Q95" s="33"/>
      <c r="R95" s="28" t="b">
        <f t="shared" si="4"/>
        <v>0</v>
      </c>
      <c r="S95" s="28" t="b">
        <f t="shared" si="5"/>
        <v>0</v>
      </c>
    </row>
    <row r="96" spans="1:19" x14ac:dyDescent="0.2">
      <c r="A96" s="19"/>
      <c r="B96" s="19"/>
      <c r="C96" s="19"/>
      <c r="D96" s="19"/>
      <c r="E96" s="19"/>
      <c r="F96" s="39"/>
      <c r="G96" s="39"/>
      <c r="H96" s="39"/>
      <c r="I96" s="19"/>
      <c r="J96" s="19"/>
      <c r="K96" s="19"/>
      <c r="L96" s="19"/>
      <c r="M96" s="19"/>
      <c r="N96" s="19"/>
      <c r="O96" s="19"/>
      <c r="P96" s="32"/>
      <c r="Q96" s="33"/>
      <c r="R96" s="28" t="b">
        <f t="shared" si="4"/>
        <v>0</v>
      </c>
      <c r="S96" s="28" t="b">
        <f t="shared" si="5"/>
        <v>0</v>
      </c>
    </row>
    <row r="97" spans="1:19" x14ac:dyDescent="0.2">
      <c r="A97" s="19"/>
      <c r="B97" s="19"/>
      <c r="C97" s="19"/>
      <c r="D97" s="19"/>
      <c r="E97" s="19"/>
      <c r="F97" s="39"/>
      <c r="G97" s="39"/>
      <c r="H97" s="39"/>
      <c r="I97" s="19"/>
      <c r="J97" s="19"/>
      <c r="K97" s="19"/>
      <c r="L97" s="19"/>
      <c r="M97" s="19"/>
      <c r="N97" s="19"/>
      <c r="O97" s="19"/>
      <c r="P97" s="32"/>
      <c r="Q97" s="33"/>
      <c r="R97" s="28" t="b">
        <f t="shared" si="4"/>
        <v>0</v>
      </c>
      <c r="S97" s="28" t="b">
        <f t="shared" si="5"/>
        <v>0</v>
      </c>
    </row>
    <row r="98" spans="1:19" x14ac:dyDescent="0.2">
      <c r="A98" s="19"/>
      <c r="B98" s="19"/>
      <c r="C98" s="19"/>
      <c r="D98" s="19"/>
      <c r="E98" s="19"/>
      <c r="F98" s="39"/>
      <c r="G98" s="39"/>
      <c r="H98" s="39"/>
      <c r="I98" s="19"/>
      <c r="J98" s="19"/>
      <c r="K98" s="19"/>
      <c r="L98" s="19"/>
      <c r="M98" s="19"/>
      <c r="N98" s="19"/>
      <c r="O98" s="19"/>
      <c r="P98" s="32"/>
      <c r="Q98" s="33"/>
      <c r="R98" s="28" t="b">
        <f t="shared" si="4"/>
        <v>0</v>
      </c>
      <c r="S98" s="28" t="b">
        <f t="shared" si="5"/>
        <v>0</v>
      </c>
    </row>
    <row r="99" spans="1:19" x14ac:dyDescent="0.2">
      <c r="A99" s="19"/>
      <c r="B99" s="19"/>
      <c r="C99" s="19"/>
      <c r="D99" s="19"/>
      <c r="E99" s="19"/>
      <c r="F99" s="39"/>
      <c r="G99" s="39"/>
      <c r="H99" s="39"/>
      <c r="I99" s="19"/>
      <c r="J99" s="19"/>
      <c r="K99" s="19"/>
      <c r="L99" s="19"/>
      <c r="M99" s="19"/>
      <c r="N99" s="19"/>
      <c r="O99" s="19"/>
      <c r="P99" s="32"/>
      <c r="Q99" s="33"/>
      <c r="R99" s="28" t="b">
        <f t="shared" si="4"/>
        <v>0</v>
      </c>
      <c r="S99" s="28" t="b">
        <f t="shared" si="5"/>
        <v>0</v>
      </c>
    </row>
    <row r="100" spans="1:19" x14ac:dyDescent="0.2">
      <c r="B100" s="5" t="s">
        <v>55</v>
      </c>
      <c r="H100" s="15"/>
      <c r="I100" s="19"/>
      <c r="J100" s="19"/>
      <c r="K100" s="19"/>
      <c r="L100" s="19"/>
      <c r="M100" s="19"/>
      <c r="N100" s="19"/>
      <c r="O100" s="19"/>
      <c r="P100" s="32"/>
      <c r="Q100" s="33"/>
      <c r="R100" s="28" t="b">
        <f t="shared" si="4"/>
        <v>0</v>
      </c>
      <c r="S100" s="28" t="b">
        <f t="shared" si="5"/>
        <v>0</v>
      </c>
    </row>
    <row r="101" spans="1:19" x14ac:dyDescent="0.2">
      <c r="A101" s="123"/>
      <c r="B101" s="88"/>
      <c r="C101" s="66" t="s">
        <v>56</v>
      </c>
      <c r="D101" s="66" t="s">
        <v>28</v>
      </c>
      <c r="E101" s="66" t="s">
        <v>64</v>
      </c>
      <c r="F101" s="66" t="s">
        <v>62</v>
      </c>
      <c r="G101" s="66" t="s">
        <v>66</v>
      </c>
      <c r="H101" s="15"/>
      <c r="I101" s="19"/>
      <c r="J101" s="19"/>
      <c r="K101" s="19"/>
      <c r="L101" s="19"/>
      <c r="M101" s="19"/>
      <c r="N101" s="19"/>
      <c r="O101" s="19"/>
      <c r="P101" s="32"/>
      <c r="Q101" s="33"/>
      <c r="R101" s="28" t="b">
        <f t="shared" si="4"/>
        <v>0</v>
      </c>
      <c r="S101" s="28" t="b">
        <f t="shared" si="5"/>
        <v>0</v>
      </c>
    </row>
    <row r="102" spans="1:19" x14ac:dyDescent="0.2">
      <c r="A102" s="67">
        <v>1</v>
      </c>
      <c r="B102" s="67">
        <f>A102+$B$32</f>
        <v>601</v>
      </c>
      <c r="C102" s="81">
        <f>MAX($B$17+$A$102*$B$18+$B$28+0.5*$B$6,$B$6)</f>
        <v>0.75</v>
      </c>
      <c r="D102" s="81">
        <f>$B$17+$A$102*$B$18+$B$27</f>
        <v>-1.961619535444834</v>
      </c>
      <c r="E102" s="81">
        <f>MAX($B$17+$B$18*($B$35-$B$32)+$B$28+0.5*$B$6,$B$6)</f>
        <v>1.1840217117326959</v>
      </c>
      <c r="F102" s="124">
        <f>MAX($P$3:$P$252)</f>
        <v>37909</v>
      </c>
      <c r="G102" s="125">
        <f>MAX($B$17+$F$102*$B$18+$B$28+0.5*$B$6,$B$6)</f>
        <v>1.1951151097572961</v>
      </c>
      <c r="H102" s="15"/>
      <c r="I102" s="19"/>
      <c r="J102" s="19"/>
      <c r="K102" s="19"/>
      <c r="L102" s="19"/>
      <c r="M102" s="19"/>
      <c r="N102" s="19"/>
      <c r="O102" s="19"/>
      <c r="P102" s="32"/>
      <c r="Q102" s="33"/>
      <c r="R102" s="28" t="b">
        <f t="shared" si="4"/>
        <v>0</v>
      </c>
      <c r="S102" s="28" t="b">
        <f t="shared" si="5"/>
        <v>0</v>
      </c>
    </row>
    <row r="103" spans="1:19" x14ac:dyDescent="0.2">
      <c r="A103" s="126">
        <f>(0.5*$B$6-$B$28-$B$17)/$B$18</f>
        <v>31649.605270976808</v>
      </c>
      <c r="B103" s="126">
        <f>$A103+$B$32</f>
        <v>32249.605270976808</v>
      </c>
      <c r="C103" s="81">
        <f>$B$6</f>
        <v>0.75</v>
      </c>
      <c r="D103" s="81">
        <f>$B$17+$A$103*$B$18+$B$27</f>
        <v>0.28896107477569632</v>
      </c>
      <c r="E103" s="81">
        <f>MAX($B$17+$B$18*($C$35-$B$32)+$B$28+0.5*$B$6,$B$6)</f>
        <v>1.2465998544355683</v>
      </c>
      <c r="F103" s="126">
        <f>$A$104</f>
        <v>44196</v>
      </c>
      <c r="G103" s="125">
        <f>$G$102</f>
        <v>1.1951151097572961</v>
      </c>
      <c r="H103" s="15"/>
      <c r="I103" s="19"/>
      <c r="J103" s="19"/>
      <c r="K103" s="19"/>
      <c r="L103" s="19"/>
      <c r="M103" s="19"/>
      <c r="N103" s="19"/>
      <c r="O103" s="19"/>
      <c r="P103" s="32"/>
      <c r="Q103" s="33"/>
      <c r="R103" s="28" t="b">
        <f t="shared" si="4"/>
        <v>0</v>
      </c>
      <c r="S103" s="28" t="b">
        <f t="shared" si="5"/>
        <v>0</v>
      </c>
    </row>
    <row r="104" spans="1:19" x14ac:dyDescent="0.2">
      <c r="A104" s="67">
        <v>44196</v>
      </c>
      <c r="B104" s="67">
        <f>$A104+$B$32</f>
        <v>44796</v>
      </c>
      <c r="C104" s="125">
        <f>MAX($B$17+$A$104*$B$18+$B$28+0.5*$B$6,$B$6)</f>
        <v>1.6421932724538402</v>
      </c>
      <c r="D104" s="125">
        <f>$B$17+$A$104*$B$18+$B$27</f>
        <v>1.1811543472295365</v>
      </c>
      <c r="E104" s="88"/>
      <c r="F104" s="88"/>
      <c r="G104" s="127"/>
      <c r="H104" s="15"/>
      <c r="I104" s="19"/>
      <c r="J104" s="19"/>
      <c r="K104" s="19"/>
      <c r="L104" s="19"/>
      <c r="M104" s="19"/>
      <c r="N104" s="19"/>
      <c r="O104" s="19"/>
      <c r="P104" s="32"/>
      <c r="Q104" s="33"/>
      <c r="R104" s="28" t="b">
        <f t="shared" si="4"/>
        <v>0</v>
      </c>
      <c r="S104" s="28" t="b">
        <f t="shared" si="5"/>
        <v>0</v>
      </c>
    </row>
    <row r="105" spans="1:19" x14ac:dyDescent="0.2">
      <c r="A105" s="126">
        <f>$B$35</f>
        <v>38353</v>
      </c>
      <c r="B105" s="126">
        <f>$C$35</f>
        <v>39233</v>
      </c>
      <c r="C105" s="128">
        <v>0</v>
      </c>
      <c r="D105" s="129"/>
      <c r="E105" s="66" t="s">
        <v>65</v>
      </c>
      <c r="F105" s="88"/>
      <c r="G105" s="127"/>
      <c r="H105" s="15"/>
      <c r="I105" s="19"/>
      <c r="J105" s="19"/>
      <c r="K105" s="19"/>
      <c r="L105" s="19"/>
      <c r="M105" s="19"/>
      <c r="N105" s="19"/>
      <c r="O105" s="19"/>
      <c r="P105" s="32"/>
      <c r="Q105" s="33"/>
      <c r="R105" s="28" t="b">
        <f t="shared" si="4"/>
        <v>0</v>
      </c>
      <c r="S105" s="28" t="b">
        <f t="shared" si="5"/>
        <v>0</v>
      </c>
    </row>
    <row r="106" spans="1:19" x14ac:dyDescent="0.2">
      <c r="A106" s="126">
        <f>$B$35</f>
        <v>38353</v>
      </c>
      <c r="B106" s="126">
        <f>$C$35</f>
        <v>39233</v>
      </c>
      <c r="C106" s="128">
        <v>100000</v>
      </c>
      <c r="D106" s="129"/>
      <c r="E106" s="125">
        <f>$B$41</f>
        <v>1.2465998544355683</v>
      </c>
      <c r="F106" s="129"/>
      <c r="G106" s="127"/>
      <c r="H106" s="15"/>
      <c r="I106" s="19"/>
      <c r="J106" s="19"/>
      <c r="K106" s="19"/>
      <c r="L106" s="19"/>
      <c r="M106" s="19"/>
      <c r="N106" s="19"/>
      <c r="O106" s="19"/>
      <c r="P106" s="32"/>
      <c r="Q106" s="33"/>
      <c r="R106" s="28" t="b">
        <f t="shared" si="4"/>
        <v>0</v>
      </c>
      <c r="S106" s="28" t="b">
        <f t="shared" si="5"/>
        <v>0</v>
      </c>
    </row>
    <row r="107" spans="1:19" x14ac:dyDescent="0.2">
      <c r="A107" s="129"/>
      <c r="B107" s="88"/>
      <c r="C107" s="88"/>
      <c r="D107" s="129"/>
      <c r="E107" s="125">
        <f>$B$41</f>
        <v>1.2465998544355683</v>
      </c>
      <c r="F107" s="129"/>
      <c r="G107" s="127"/>
      <c r="H107" s="15"/>
      <c r="I107" s="19"/>
      <c r="J107" s="19"/>
      <c r="K107" s="19"/>
      <c r="L107" s="19"/>
      <c r="M107" s="19"/>
      <c r="N107" s="19"/>
      <c r="O107" s="19"/>
      <c r="P107" s="32"/>
      <c r="Q107" s="33"/>
      <c r="R107" s="28" t="b">
        <f t="shared" si="4"/>
        <v>0</v>
      </c>
      <c r="S107" s="28" t="b">
        <f t="shared" si="5"/>
        <v>0</v>
      </c>
    </row>
    <row r="108" spans="1:19" x14ac:dyDescent="0.2">
      <c r="A108" s="88"/>
      <c r="B108" s="88"/>
      <c r="C108" s="88"/>
      <c r="D108" s="88"/>
      <c r="E108" s="88"/>
      <c r="F108" s="129"/>
      <c r="G108" s="127"/>
      <c r="H108" s="15"/>
      <c r="I108" s="19"/>
      <c r="J108" s="19"/>
      <c r="K108" s="19"/>
      <c r="L108" s="19"/>
      <c r="M108" s="19"/>
      <c r="N108" s="19"/>
      <c r="O108" s="19"/>
      <c r="P108" s="32"/>
      <c r="Q108" s="33"/>
      <c r="R108" s="28" t="b">
        <f t="shared" si="4"/>
        <v>0</v>
      </c>
      <c r="S108" s="28" t="b">
        <f t="shared" si="5"/>
        <v>0</v>
      </c>
    </row>
    <row r="109" spans="1:19" x14ac:dyDescent="0.2">
      <c r="A109" s="88"/>
      <c r="B109" s="88"/>
      <c r="C109" s="88"/>
      <c r="D109" s="88"/>
      <c r="E109" s="88"/>
      <c r="F109" s="129"/>
      <c r="G109" s="127"/>
      <c r="H109" s="15"/>
      <c r="I109" s="19"/>
      <c r="J109" s="19"/>
      <c r="K109" s="19"/>
      <c r="L109" s="19"/>
      <c r="M109" s="19"/>
      <c r="N109" s="19"/>
      <c r="O109" s="19"/>
      <c r="P109" s="32"/>
      <c r="Q109" s="33"/>
      <c r="R109" s="28" t="b">
        <f t="shared" si="4"/>
        <v>0</v>
      </c>
      <c r="S109" s="28" t="b">
        <f t="shared" si="5"/>
        <v>0</v>
      </c>
    </row>
    <row r="110" spans="1:19" x14ac:dyDescent="0.2">
      <c r="A110" s="88"/>
      <c r="B110" s="88"/>
      <c r="C110" s="88"/>
      <c r="D110" s="88"/>
      <c r="E110" s="88"/>
      <c r="F110" s="129"/>
      <c r="G110" s="127"/>
      <c r="H110" s="15"/>
      <c r="I110" s="19"/>
      <c r="J110" s="19"/>
      <c r="K110" s="19"/>
      <c r="L110" s="19"/>
      <c r="M110" s="19"/>
      <c r="N110" s="19"/>
      <c r="O110" s="19"/>
      <c r="P110" s="32"/>
      <c r="Q110" s="33"/>
      <c r="R110" s="28" t="b">
        <f t="shared" si="4"/>
        <v>0</v>
      </c>
      <c r="S110" s="28" t="b">
        <f t="shared" si="5"/>
        <v>0</v>
      </c>
    </row>
    <row r="111" spans="1:19" x14ac:dyDescent="0.2">
      <c r="A111" s="88"/>
      <c r="B111" s="88"/>
      <c r="C111" s="66" t="s">
        <v>50</v>
      </c>
      <c r="D111" s="76">
        <f>IF($B$9&gt;3,INDEX(XX!$C$4:'XX'!$C$150,$B$9))</f>
        <v>0.2787</v>
      </c>
      <c r="E111" s="76">
        <f>IF($B$9&gt;3,INDEX(XX!$D$4:'XX'!$D$150,$B$9))</f>
        <v>0.36099999999999999</v>
      </c>
      <c r="F111" s="129"/>
      <c r="G111" s="127"/>
      <c r="H111" s="15"/>
      <c r="I111" s="19"/>
      <c r="J111" s="19"/>
      <c r="K111" s="19"/>
      <c r="L111" s="19"/>
      <c r="M111" s="19"/>
      <c r="N111" s="19"/>
      <c r="O111" s="19"/>
      <c r="P111" s="32"/>
      <c r="Q111" s="33"/>
      <c r="R111" s="28" t="b">
        <f t="shared" si="4"/>
        <v>0</v>
      </c>
      <c r="S111" s="28" t="b">
        <f t="shared" si="5"/>
        <v>0</v>
      </c>
    </row>
    <row r="112" spans="1:19" x14ac:dyDescent="0.2">
      <c r="A112" s="88"/>
      <c r="B112" s="88"/>
      <c r="C112" s="66" t="s">
        <v>51</v>
      </c>
      <c r="D112" s="130" t="s">
        <v>52</v>
      </c>
      <c r="E112" s="130" t="s">
        <v>53</v>
      </c>
      <c r="F112" s="129"/>
      <c r="G112" s="127"/>
      <c r="H112" s="15"/>
      <c r="I112" s="19"/>
      <c r="J112" s="19"/>
      <c r="K112" s="19"/>
      <c r="L112" s="19"/>
      <c r="M112" s="19"/>
      <c r="N112" s="19"/>
      <c r="O112" s="19"/>
      <c r="P112" s="32"/>
      <c r="Q112" s="33"/>
      <c r="R112" s="28" t="b">
        <f t="shared" ref="R112:R143" si="6">IF($P112&gt;0,$B$17+$B$18*$P112)</f>
        <v>0</v>
      </c>
      <c r="S112" s="28" t="b">
        <f t="shared" ref="S112:S143" si="7">IF($P112&gt;0,$Q112-$R112)</f>
        <v>0</v>
      </c>
    </row>
    <row r="113" spans="1:19" x14ac:dyDescent="0.2">
      <c r="A113" s="66" t="s">
        <v>40</v>
      </c>
      <c r="B113" s="89">
        <f>MIN($A$50:$A$199)</f>
        <v>1</v>
      </c>
      <c r="C113" s="88"/>
      <c r="D113" s="76">
        <f>IF((ABS($B$16)&gt;$I$58)*AND(ABS($B$16)&lt;$J$58),#REF!+#REF!*B113,0)</f>
        <v>0</v>
      </c>
      <c r="E113" s="76">
        <f>IF((ABS($B$16)&gt;$J$58),$B$17+$B$18*$B113,0)</f>
        <v>-2.3077263355536739</v>
      </c>
      <c r="F113" s="129"/>
      <c r="G113" s="127"/>
      <c r="H113" s="15"/>
      <c r="I113" s="19"/>
      <c r="J113" s="19"/>
      <c r="K113" s="19"/>
      <c r="L113" s="19"/>
      <c r="M113" s="19"/>
      <c r="N113" s="19"/>
      <c r="O113" s="19"/>
      <c r="P113" s="32"/>
      <c r="Q113" s="33"/>
      <c r="R113" s="28" t="b">
        <f t="shared" si="6"/>
        <v>0</v>
      </c>
      <c r="S113" s="28" t="b">
        <f t="shared" si="7"/>
        <v>0</v>
      </c>
    </row>
    <row r="114" spans="1:19" x14ac:dyDescent="0.2">
      <c r="A114" s="66" t="s">
        <v>41</v>
      </c>
      <c r="B114" s="89">
        <f>MAX($P$3:$P$252)</f>
        <v>37909</v>
      </c>
      <c r="C114" s="88"/>
      <c r="D114" s="76">
        <f>IF((ABS($B$16)&gt;$I$58)*AND(ABS($B$16)&lt;$J$58),#REF!+#REF!*B114,0)</f>
        <v>0</v>
      </c>
      <c r="E114" s="76">
        <f>IF((ABS($B$16)&gt;$E$111),$B$17+$B$18*$B114,0)</f>
        <v>0.38796938442415252</v>
      </c>
      <c r="F114" s="129"/>
      <c r="G114" s="127"/>
      <c r="H114" s="15"/>
      <c r="I114" s="19"/>
      <c r="J114" s="19"/>
      <c r="K114" s="19"/>
      <c r="L114" s="19"/>
      <c r="M114" s="19"/>
      <c r="N114" s="19"/>
      <c r="O114" s="19"/>
      <c r="P114" s="32"/>
      <c r="Q114" s="33"/>
      <c r="R114" s="28" t="b">
        <f t="shared" si="6"/>
        <v>0</v>
      </c>
      <c r="S114" s="28" t="b">
        <f t="shared" si="7"/>
        <v>0</v>
      </c>
    </row>
    <row r="115" spans="1:19" x14ac:dyDescent="0.2">
      <c r="F115" s="15"/>
      <c r="G115" s="15"/>
      <c r="H115" s="15"/>
      <c r="I115" s="19"/>
      <c r="J115" s="19"/>
      <c r="K115" s="19"/>
      <c r="L115" s="19"/>
      <c r="M115" s="19"/>
      <c r="N115" s="19"/>
      <c r="O115" s="19"/>
      <c r="P115" s="32"/>
      <c r="Q115" s="33"/>
      <c r="R115" s="28" t="b">
        <f t="shared" si="6"/>
        <v>0</v>
      </c>
      <c r="S115" s="28" t="b">
        <f t="shared" si="7"/>
        <v>0</v>
      </c>
    </row>
    <row r="116" spans="1:19" x14ac:dyDescent="0.2">
      <c r="F116" s="15"/>
      <c r="G116" s="15"/>
      <c r="H116" s="15"/>
      <c r="I116" s="19"/>
      <c r="J116" s="19"/>
      <c r="K116" s="19"/>
      <c r="L116" s="19"/>
      <c r="M116" s="19"/>
      <c r="N116" s="19"/>
      <c r="O116" s="19"/>
      <c r="P116" s="32"/>
      <c r="Q116" s="33"/>
      <c r="R116" s="28" t="b">
        <f t="shared" si="6"/>
        <v>0</v>
      </c>
      <c r="S116" s="28" t="b">
        <f t="shared" si="7"/>
        <v>0</v>
      </c>
    </row>
    <row r="117" spans="1:19" x14ac:dyDescent="0.2">
      <c r="F117" s="15"/>
      <c r="G117" s="15"/>
      <c r="H117" s="15"/>
      <c r="I117" s="19"/>
      <c r="J117" s="19"/>
      <c r="K117" s="19"/>
      <c r="L117" s="19"/>
      <c r="M117" s="19"/>
      <c r="N117" s="19"/>
      <c r="O117" s="19"/>
      <c r="P117" s="32"/>
      <c r="Q117" s="33"/>
      <c r="R117" s="28" t="b">
        <f t="shared" si="6"/>
        <v>0</v>
      </c>
      <c r="S117" s="28" t="b">
        <f t="shared" si="7"/>
        <v>0</v>
      </c>
    </row>
    <row r="118" spans="1:19" x14ac:dyDescent="0.2">
      <c r="F118" s="15"/>
      <c r="G118" s="15"/>
      <c r="H118" s="15"/>
      <c r="I118" s="19"/>
      <c r="J118" s="19"/>
      <c r="K118" s="19"/>
      <c r="L118" s="19"/>
      <c r="M118" s="19"/>
      <c r="N118" s="19"/>
      <c r="O118" s="19"/>
      <c r="P118" s="32"/>
      <c r="Q118" s="33"/>
      <c r="R118" s="28" t="b">
        <f t="shared" si="6"/>
        <v>0</v>
      </c>
      <c r="S118" s="28" t="b">
        <f t="shared" si="7"/>
        <v>0</v>
      </c>
    </row>
    <row r="119" spans="1:19" x14ac:dyDescent="0.2">
      <c r="F119" s="15"/>
      <c r="G119" s="15"/>
      <c r="H119" s="15"/>
      <c r="I119" s="19"/>
      <c r="J119" s="19"/>
      <c r="K119" s="19"/>
      <c r="L119" s="19"/>
      <c r="M119" s="19"/>
      <c r="N119" s="19"/>
      <c r="O119" s="19"/>
      <c r="P119" s="32"/>
      <c r="Q119" s="33"/>
      <c r="R119" s="28" t="b">
        <f t="shared" si="6"/>
        <v>0</v>
      </c>
      <c r="S119" s="28" t="b">
        <f t="shared" si="7"/>
        <v>0</v>
      </c>
    </row>
    <row r="120" spans="1:19" x14ac:dyDescent="0.2">
      <c r="F120" s="15"/>
      <c r="G120" s="15"/>
      <c r="H120" s="15"/>
      <c r="I120" s="19"/>
      <c r="J120" s="19"/>
      <c r="K120" s="19"/>
      <c r="L120" s="19"/>
      <c r="M120" s="19"/>
      <c r="N120" s="19"/>
      <c r="O120" s="19"/>
      <c r="P120" s="32"/>
      <c r="Q120" s="33"/>
      <c r="R120" s="28" t="b">
        <f t="shared" si="6"/>
        <v>0</v>
      </c>
      <c r="S120" s="28" t="b">
        <f t="shared" si="7"/>
        <v>0</v>
      </c>
    </row>
    <row r="121" spans="1:19" x14ac:dyDescent="0.2">
      <c r="I121" s="19"/>
      <c r="J121" s="19"/>
      <c r="K121" s="19"/>
      <c r="L121" s="19"/>
      <c r="M121" s="19"/>
      <c r="N121" s="19"/>
      <c r="O121" s="19"/>
      <c r="P121" s="32"/>
      <c r="Q121" s="33"/>
      <c r="R121" s="28" t="b">
        <f t="shared" si="6"/>
        <v>0</v>
      </c>
      <c r="S121" s="28" t="b">
        <f t="shared" si="7"/>
        <v>0</v>
      </c>
    </row>
    <row r="122" spans="1:19" x14ac:dyDescent="0.2">
      <c r="I122" s="19"/>
      <c r="J122" s="19"/>
      <c r="K122" s="19"/>
      <c r="L122" s="19"/>
      <c r="M122" s="19"/>
      <c r="N122" s="19"/>
      <c r="O122" s="19"/>
      <c r="P122" s="32"/>
      <c r="Q122" s="33"/>
      <c r="R122" s="28" t="b">
        <f t="shared" si="6"/>
        <v>0</v>
      </c>
      <c r="S122" s="28" t="b">
        <f t="shared" si="7"/>
        <v>0</v>
      </c>
    </row>
    <row r="123" spans="1:19" x14ac:dyDescent="0.2">
      <c r="I123" s="19"/>
      <c r="J123" s="19"/>
      <c r="K123" s="19"/>
      <c r="L123" s="19"/>
      <c r="M123" s="19"/>
      <c r="N123" s="19"/>
      <c r="O123" s="19"/>
      <c r="P123" s="32"/>
      <c r="Q123" s="33"/>
      <c r="R123" s="28" t="b">
        <f t="shared" si="6"/>
        <v>0</v>
      </c>
      <c r="S123" s="28" t="b">
        <f t="shared" si="7"/>
        <v>0</v>
      </c>
    </row>
    <row r="124" spans="1:19" x14ac:dyDescent="0.2">
      <c r="I124" s="19"/>
      <c r="J124" s="19"/>
      <c r="K124" s="19"/>
      <c r="L124" s="19"/>
      <c r="M124" s="19"/>
      <c r="N124" s="19"/>
      <c r="O124" s="19"/>
      <c r="P124" s="32"/>
      <c r="Q124" s="33"/>
      <c r="R124" s="28" t="b">
        <f t="shared" si="6"/>
        <v>0</v>
      </c>
      <c r="S124" s="28" t="b">
        <f t="shared" si="7"/>
        <v>0</v>
      </c>
    </row>
    <row r="125" spans="1:19" x14ac:dyDescent="0.2">
      <c r="I125" s="19"/>
      <c r="J125" s="19"/>
      <c r="K125" s="19"/>
      <c r="L125" s="19"/>
      <c r="M125" s="19"/>
      <c r="N125" s="19"/>
      <c r="O125" s="19"/>
      <c r="P125" s="32"/>
      <c r="Q125" s="33"/>
      <c r="R125" s="28" t="b">
        <f t="shared" si="6"/>
        <v>0</v>
      </c>
      <c r="S125" s="28" t="b">
        <f t="shared" si="7"/>
        <v>0</v>
      </c>
    </row>
    <row r="126" spans="1:19" x14ac:dyDescent="0.2">
      <c r="I126" s="19"/>
      <c r="J126" s="19"/>
      <c r="K126" s="19"/>
      <c r="L126" s="19"/>
      <c r="M126" s="19"/>
      <c r="N126" s="19"/>
      <c r="O126" s="19"/>
      <c r="P126" s="32"/>
      <c r="Q126" s="33"/>
      <c r="R126" s="28" t="b">
        <f t="shared" si="6"/>
        <v>0</v>
      </c>
      <c r="S126" s="28" t="b">
        <f t="shared" si="7"/>
        <v>0</v>
      </c>
    </row>
    <row r="127" spans="1:19" x14ac:dyDescent="0.2">
      <c r="I127" s="19"/>
      <c r="J127" s="19"/>
      <c r="K127" s="19"/>
      <c r="L127" s="19"/>
      <c r="M127" s="19"/>
      <c r="N127" s="19"/>
      <c r="O127" s="19"/>
      <c r="P127" s="32"/>
      <c r="Q127" s="33"/>
      <c r="R127" s="28" t="b">
        <f t="shared" si="6"/>
        <v>0</v>
      </c>
      <c r="S127" s="28" t="b">
        <f t="shared" si="7"/>
        <v>0</v>
      </c>
    </row>
    <row r="128" spans="1:19" x14ac:dyDescent="0.2">
      <c r="I128" s="19"/>
      <c r="J128" s="19"/>
      <c r="K128" s="19"/>
      <c r="L128" s="19"/>
      <c r="M128" s="19"/>
      <c r="N128" s="19"/>
      <c r="O128" s="19"/>
      <c r="P128" s="32"/>
      <c r="Q128" s="33"/>
      <c r="R128" s="28" t="b">
        <f t="shared" si="6"/>
        <v>0</v>
      </c>
      <c r="S128" s="28" t="b">
        <f t="shared" si="7"/>
        <v>0</v>
      </c>
    </row>
    <row r="129" spans="9:19" x14ac:dyDescent="0.2">
      <c r="I129" s="19"/>
      <c r="J129" s="19"/>
      <c r="K129" s="19"/>
      <c r="L129" s="19"/>
      <c r="M129" s="19"/>
      <c r="N129" s="19"/>
      <c r="O129" s="19"/>
      <c r="P129" s="32"/>
      <c r="Q129" s="33"/>
      <c r="R129" s="28" t="b">
        <f t="shared" si="6"/>
        <v>0</v>
      </c>
      <c r="S129" s="28" t="b">
        <f t="shared" si="7"/>
        <v>0</v>
      </c>
    </row>
    <row r="130" spans="9:19" x14ac:dyDescent="0.2">
      <c r="I130" s="19"/>
      <c r="J130" s="19"/>
      <c r="K130" s="19"/>
      <c r="L130" s="19"/>
      <c r="M130" s="19"/>
      <c r="N130" s="19"/>
      <c r="O130" s="19"/>
      <c r="P130" s="32"/>
      <c r="Q130" s="33"/>
      <c r="R130" s="28" t="b">
        <f t="shared" si="6"/>
        <v>0</v>
      </c>
      <c r="S130" s="28" t="b">
        <f t="shared" si="7"/>
        <v>0</v>
      </c>
    </row>
    <row r="131" spans="9:19" x14ac:dyDescent="0.2">
      <c r="I131" s="19"/>
      <c r="J131" s="19"/>
      <c r="K131" s="19"/>
      <c r="L131" s="19"/>
      <c r="M131" s="19"/>
      <c r="N131" s="19"/>
      <c r="O131" s="19"/>
      <c r="P131" s="32"/>
      <c r="Q131" s="33"/>
      <c r="R131" s="28" t="b">
        <f t="shared" si="6"/>
        <v>0</v>
      </c>
      <c r="S131" s="28" t="b">
        <f t="shared" si="7"/>
        <v>0</v>
      </c>
    </row>
    <row r="132" spans="9:19" x14ac:dyDescent="0.2">
      <c r="I132" s="19"/>
      <c r="J132" s="19"/>
      <c r="K132" s="19"/>
      <c r="L132" s="19"/>
      <c r="M132" s="19"/>
      <c r="N132" s="19"/>
      <c r="O132" s="19"/>
      <c r="P132" s="32"/>
      <c r="Q132" s="33"/>
      <c r="R132" s="28" t="b">
        <f t="shared" si="6"/>
        <v>0</v>
      </c>
      <c r="S132" s="28" t="b">
        <f t="shared" si="7"/>
        <v>0</v>
      </c>
    </row>
    <row r="133" spans="9:19" x14ac:dyDescent="0.2">
      <c r="I133" s="19"/>
      <c r="J133" s="19"/>
      <c r="K133" s="19"/>
      <c r="L133" s="19"/>
      <c r="M133" s="19"/>
      <c r="N133" s="19"/>
      <c r="O133" s="19"/>
      <c r="P133" s="32"/>
      <c r="Q133" s="33"/>
      <c r="R133" s="28" t="b">
        <f t="shared" si="6"/>
        <v>0</v>
      </c>
      <c r="S133" s="28" t="b">
        <f t="shared" si="7"/>
        <v>0</v>
      </c>
    </row>
    <row r="134" spans="9:19" x14ac:dyDescent="0.2">
      <c r="I134" s="19"/>
      <c r="J134" s="19"/>
      <c r="K134" s="19"/>
      <c r="L134" s="19"/>
      <c r="M134" s="19"/>
      <c r="N134" s="19"/>
      <c r="O134" s="19"/>
      <c r="P134" s="32"/>
      <c r="Q134" s="33"/>
      <c r="R134" s="28" t="b">
        <f t="shared" si="6"/>
        <v>0</v>
      </c>
      <c r="S134" s="28" t="b">
        <f t="shared" si="7"/>
        <v>0</v>
      </c>
    </row>
    <row r="135" spans="9:19" x14ac:dyDescent="0.2">
      <c r="I135" s="19"/>
      <c r="J135" s="19"/>
      <c r="K135" s="19"/>
      <c r="L135" s="19"/>
      <c r="M135" s="19"/>
      <c r="N135" s="19"/>
      <c r="O135" s="19"/>
      <c r="P135" s="32"/>
      <c r="Q135" s="33"/>
      <c r="R135" s="28" t="b">
        <f t="shared" si="6"/>
        <v>0</v>
      </c>
      <c r="S135" s="28" t="b">
        <f t="shared" si="7"/>
        <v>0</v>
      </c>
    </row>
    <row r="136" spans="9:19" x14ac:dyDescent="0.2">
      <c r="I136" s="19"/>
      <c r="J136" s="19"/>
      <c r="K136" s="19"/>
      <c r="L136" s="19"/>
      <c r="M136" s="19"/>
      <c r="N136" s="19"/>
      <c r="O136" s="19"/>
      <c r="P136" s="32"/>
      <c r="Q136" s="33"/>
      <c r="R136" s="28" t="b">
        <f t="shared" si="6"/>
        <v>0</v>
      </c>
      <c r="S136" s="28" t="b">
        <f t="shared" si="7"/>
        <v>0</v>
      </c>
    </row>
    <row r="137" spans="9:19" x14ac:dyDescent="0.2">
      <c r="I137" s="19"/>
      <c r="J137" s="19"/>
      <c r="K137" s="19"/>
      <c r="L137" s="19"/>
      <c r="M137" s="19"/>
      <c r="N137" s="19"/>
      <c r="O137" s="19"/>
      <c r="P137" s="32"/>
      <c r="Q137" s="33"/>
      <c r="R137" s="28" t="b">
        <f t="shared" si="6"/>
        <v>0</v>
      </c>
      <c r="S137" s="28" t="b">
        <f t="shared" si="7"/>
        <v>0</v>
      </c>
    </row>
    <row r="138" spans="9:19" x14ac:dyDescent="0.2">
      <c r="I138" s="19"/>
      <c r="J138" s="19"/>
      <c r="K138" s="19"/>
      <c r="L138" s="19"/>
      <c r="M138" s="19"/>
      <c r="N138" s="19"/>
      <c r="O138" s="19"/>
      <c r="P138" s="32"/>
      <c r="Q138" s="33"/>
      <c r="R138" s="28" t="b">
        <f t="shared" si="6"/>
        <v>0</v>
      </c>
      <c r="S138" s="28" t="b">
        <f t="shared" si="7"/>
        <v>0</v>
      </c>
    </row>
    <row r="139" spans="9:19" x14ac:dyDescent="0.2">
      <c r="I139" s="19"/>
      <c r="J139" s="19"/>
      <c r="K139" s="19"/>
      <c r="L139" s="19"/>
      <c r="M139" s="19"/>
      <c r="N139" s="19"/>
      <c r="O139" s="19"/>
      <c r="P139" s="32"/>
      <c r="Q139" s="33"/>
      <c r="R139" s="28" t="b">
        <f t="shared" si="6"/>
        <v>0</v>
      </c>
      <c r="S139" s="28" t="b">
        <f t="shared" si="7"/>
        <v>0</v>
      </c>
    </row>
    <row r="140" spans="9:19" x14ac:dyDescent="0.2">
      <c r="I140" s="19"/>
      <c r="J140" s="19"/>
      <c r="K140" s="19"/>
      <c r="L140" s="19"/>
      <c r="M140" s="19"/>
      <c r="N140" s="19"/>
      <c r="O140" s="19"/>
      <c r="P140" s="32"/>
      <c r="Q140" s="33"/>
      <c r="R140" s="28" t="b">
        <f t="shared" si="6"/>
        <v>0</v>
      </c>
      <c r="S140" s="28" t="b">
        <f t="shared" si="7"/>
        <v>0</v>
      </c>
    </row>
    <row r="141" spans="9:19" x14ac:dyDescent="0.2">
      <c r="I141" s="19"/>
      <c r="J141" s="19"/>
      <c r="K141" s="19"/>
      <c r="L141" s="19"/>
      <c r="M141" s="19"/>
      <c r="N141" s="19"/>
      <c r="O141" s="19"/>
      <c r="P141" s="32"/>
      <c r="Q141" s="33"/>
      <c r="R141" s="28" t="b">
        <f t="shared" si="6"/>
        <v>0</v>
      </c>
      <c r="S141" s="28" t="b">
        <f t="shared" si="7"/>
        <v>0</v>
      </c>
    </row>
    <row r="142" spans="9:19" x14ac:dyDescent="0.2">
      <c r="I142" s="19"/>
      <c r="J142" s="19"/>
      <c r="K142" s="19"/>
      <c r="L142" s="19"/>
      <c r="M142" s="19"/>
      <c r="N142" s="19"/>
      <c r="O142" s="19"/>
      <c r="P142" s="32"/>
      <c r="Q142" s="33"/>
      <c r="R142" s="28" t="b">
        <f t="shared" si="6"/>
        <v>0</v>
      </c>
      <c r="S142" s="28" t="b">
        <f t="shared" si="7"/>
        <v>0</v>
      </c>
    </row>
    <row r="143" spans="9:19" x14ac:dyDescent="0.2">
      <c r="I143" s="19"/>
      <c r="J143" s="19"/>
      <c r="K143" s="19"/>
      <c r="L143" s="19"/>
      <c r="M143" s="19"/>
      <c r="N143" s="19"/>
      <c r="O143" s="19"/>
      <c r="P143" s="32"/>
      <c r="Q143" s="33"/>
      <c r="R143" s="28" t="b">
        <f t="shared" si="6"/>
        <v>0</v>
      </c>
      <c r="S143" s="28" t="b">
        <f t="shared" si="7"/>
        <v>0</v>
      </c>
    </row>
    <row r="144" spans="9:19" x14ac:dyDescent="0.2">
      <c r="I144" s="19"/>
      <c r="J144" s="19"/>
      <c r="K144" s="19"/>
      <c r="L144" s="19"/>
      <c r="M144" s="19"/>
      <c r="N144" s="19"/>
      <c r="O144" s="19"/>
      <c r="P144" s="32"/>
      <c r="Q144" s="33"/>
      <c r="R144" s="28" t="b">
        <f t="shared" ref="R144:R175" si="8">IF($P144&gt;0,$B$17+$B$18*$P144)</f>
        <v>0</v>
      </c>
      <c r="S144" s="28" t="b">
        <f t="shared" ref="S144:S175" si="9">IF($P144&gt;0,$Q144-$R144)</f>
        <v>0</v>
      </c>
    </row>
    <row r="145" spans="9:19" x14ac:dyDescent="0.2">
      <c r="I145" s="19"/>
      <c r="J145" s="19"/>
      <c r="K145" s="19"/>
      <c r="L145" s="19"/>
      <c r="M145" s="19"/>
      <c r="N145" s="19"/>
      <c r="O145" s="19"/>
      <c r="P145" s="32"/>
      <c r="Q145" s="33"/>
      <c r="R145" s="28" t="b">
        <f t="shared" si="8"/>
        <v>0</v>
      </c>
      <c r="S145" s="28" t="b">
        <f t="shared" si="9"/>
        <v>0</v>
      </c>
    </row>
    <row r="146" spans="9:19" x14ac:dyDescent="0.2">
      <c r="I146" s="19"/>
      <c r="J146" s="19"/>
      <c r="K146" s="19"/>
      <c r="L146" s="19"/>
      <c r="M146" s="19"/>
      <c r="N146" s="19"/>
      <c r="O146" s="19"/>
      <c r="P146" s="32"/>
      <c r="Q146" s="33"/>
      <c r="R146" s="28" t="b">
        <f t="shared" si="8"/>
        <v>0</v>
      </c>
      <c r="S146" s="28" t="b">
        <f t="shared" si="9"/>
        <v>0</v>
      </c>
    </row>
    <row r="147" spans="9:19" x14ac:dyDescent="0.2">
      <c r="I147" s="19"/>
      <c r="J147" s="19"/>
      <c r="K147" s="19"/>
      <c r="L147" s="19"/>
      <c r="M147" s="19"/>
      <c r="N147" s="19"/>
      <c r="O147" s="19"/>
      <c r="P147" s="32"/>
      <c r="Q147" s="33"/>
      <c r="R147" s="28" t="b">
        <f t="shared" si="8"/>
        <v>0</v>
      </c>
      <c r="S147" s="28" t="b">
        <f t="shared" si="9"/>
        <v>0</v>
      </c>
    </row>
    <row r="148" spans="9:19" x14ac:dyDescent="0.2">
      <c r="I148" s="19"/>
      <c r="J148" s="19"/>
      <c r="K148" s="19"/>
      <c r="L148" s="19"/>
      <c r="M148" s="19"/>
      <c r="N148" s="19"/>
      <c r="O148" s="19"/>
      <c r="P148" s="32"/>
      <c r="Q148" s="33"/>
      <c r="R148" s="28" t="b">
        <f t="shared" si="8"/>
        <v>0</v>
      </c>
      <c r="S148" s="28" t="b">
        <f t="shared" si="9"/>
        <v>0</v>
      </c>
    </row>
    <row r="149" spans="9:19" x14ac:dyDescent="0.2">
      <c r="I149" s="19"/>
      <c r="J149" s="19"/>
      <c r="K149" s="19"/>
      <c r="L149" s="19"/>
      <c r="M149" s="19"/>
      <c r="N149" s="19"/>
      <c r="O149" s="19"/>
      <c r="P149" s="32"/>
      <c r="Q149" s="33"/>
      <c r="R149" s="28" t="b">
        <f t="shared" si="8"/>
        <v>0</v>
      </c>
      <c r="S149" s="28" t="b">
        <f t="shared" si="9"/>
        <v>0</v>
      </c>
    </row>
    <row r="150" spans="9:19" x14ac:dyDescent="0.2">
      <c r="I150" s="19"/>
      <c r="J150" s="19"/>
      <c r="K150" s="19"/>
      <c r="L150" s="19"/>
      <c r="M150" s="19"/>
      <c r="N150" s="19"/>
      <c r="O150" s="19"/>
      <c r="P150" s="32"/>
      <c r="Q150" s="33"/>
      <c r="R150" s="28" t="b">
        <f t="shared" si="8"/>
        <v>0</v>
      </c>
      <c r="S150" s="28" t="b">
        <f t="shared" si="9"/>
        <v>0</v>
      </c>
    </row>
    <row r="151" spans="9:19" x14ac:dyDescent="0.2">
      <c r="I151" s="19"/>
      <c r="J151" s="19"/>
      <c r="K151" s="19"/>
      <c r="L151" s="19"/>
      <c r="M151" s="19"/>
      <c r="N151" s="19"/>
      <c r="O151" s="19"/>
      <c r="P151" s="32"/>
      <c r="Q151" s="33"/>
      <c r="R151" s="28" t="b">
        <f t="shared" si="8"/>
        <v>0</v>
      </c>
      <c r="S151" s="28" t="b">
        <f t="shared" si="9"/>
        <v>0</v>
      </c>
    </row>
    <row r="152" spans="9:19" x14ac:dyDescent="0.2">
      <c r="I152" s="19"/>
      <c r="J152" s="19"/>
      <c r="K152" s="19"/>
      <c r="L152" s="19"/>
      <c r="M152" s="19"/>
      <c r="N152" s="19"/>
      <c r="O152" s="19"/>
      <c r="P152" s="32"/>
      <c r="Q152" s="33"/>
      <c r="R152" s="28" t="b">
        <f t="shared" si="8"/>
        <v>0</v>
      </c>
      <c r="S152" s="28" t="b">
        <f t="shared" si="9"/>
        <v>0</v>
      </c>
    </row>
    <row r="153" spans="9:19" x14ac:dyDescent="0.2">
      <c r="I153" s="19"/>
      <c r="J153" s="19"/>
      <c r="K153" s="19"/>
      <c r="L153" s="19"/>
      <c r="M153" s="19"/>
      <c r="N153" s="19"/>
      <c r="O153" s="19"/>
      <c r="P153" s="32"/>
      <c r="Q153" s="33"/>
      <c r="R153" s="28" t="b">
        <f t="shared" si="8"/>
        <v>0</v>
      </c>
      <c r="S153" s="28" t="b">
        <f t="shared" si="9"/>
        <v>0</v>
      </c>
    </row>
    <row r="154" spans="9:19" x14ac:dyDescent="0.2">
      <c r="I154" s="19"/>
      <c r="J154" s="19"/>
      <c r="K154" s="19"/>
      <c r="L154" s="19"/>
      <c r="M154" s="19"/>
      <c r="N154" s="19"/>
      <c r="O154" s="19"/>
      <c r="P154" s="32"/>
      <c r="Q154" s="33"/>
      <c r="R154" s="28" t="b">
        <f t="shared" si="8"/>
        <v>0</v>
      </c>
      <c r="S154" s="28" t="b">
        <f t="shared" si="9"/>
        <v>0</v>
      </c>
    </row>
    <row r="155" spans="9:19" x14ac:dyDescent="0.2">
      <c r="P155" s="32"/>
      <c r="Q155" s="33"/>
      <c r="R155" s="28" t="b">
        <f t="shared" si="8"/>
        <v>0</v>
      </c>
      <c r="S155" s="28" t="b">
        <f t="shared" si="9"/>
        <v>0</v>
      </c>
    </row>
    <row r="156" spans="9:19" x14ac:dyDescent="0.2">
      <c r="P156" s="32"/>
      <c r="Q156" s="33"/>
      <c r="R156" s="28" t="b">
        <f t="shared" si="8"/>
        <v>0</v>
      </c>
      <c r="S156" s="28" t="b">
        <f t="shared" si="9"/>
        <v>0</v>
      </c>
    </row>
    <row r="157" spans="9:19" x14ac:dyDescent="0.2">
      <c r="P157" s="32"/>
      <c r="Q157" s="33"/>
      <c r="R157" s="28" t="b">
        <f t="shared" si="8"/>
        <v>0</v>
      </c>
      <c r="S157" s="28" t="b">
        <f t="shared" si="9"/>
        <v>0</v>
      </c>
    </row>
    <row r="158" spans="9:19" x14ac:dyDescent="0.2">
      <c r="P158" s="32"/>
      <c r="Q158" s="33"/>
      <c r="R158" s="28" t="b">
        <f t="shared" si="8"/>
        <v>0</v>
      </c>
      <c r="S158" s="28" t="b">
        <f t="shared" si="9"/>
        <v>0</v>
      </c>
    </row>
    <row r="159" spans="9:19" x14ac:dyDescent="0.2">
      <c r="P159" s="32"/>
      <c r="Q159" s="33"/>
      <c r="R159" s="28" t="b">
        <f t="shared" si="8"/>
        <v>0</v>
      </c>
      <c r="S159" s="28" t="b">
        <f t="shared" si="9"/>
        <v>0</v>
      </c>
    </row>
    <row r="160" spans="9:19" x14ac:dyDescent="0.2">
      <c r="P160" s="32"/>
      <c r="Q160" s="33"/>
      <c r="R160" s="28" t="b">
        <f t="shared" si="8"/>
        <v>0</v>
      </c>
      <c r="S160" s="28" t="b">
        <f t="shared" si="9"/>
        <v>0</v>
      </c>
    </row>
    <row r="161" spans="16:19" x14ac:dyDescent="0.2">
      <c r="P161" s="32"/>
      <c r="Q161" s="33"/>
      <c r="R161" s="28" t="b">
        <f t="shared" si="8"/>
        <v>0</v>
      </c>
      <c r="S161" s="28" t="b">
        <f t="shared" si="9"/>
        <v>0</v>
      </c>
    </row>
    <row r="162" spans="16:19" x14ac:dyDescent="0.2">
      <c r="P162" s="32"/>
      <c r="Q162" s="33"/>
      <c r="R162" s="28" t="b">
        <f t="shared" si="8"/>
        <v>0</v>
      </c>
      <c r="S162" s="28" t="b">
        <f t="shared" si="9"/>
        <v>0</v>
      </c>
    </row>
    <row r="163" spans="16:19" x14ac:dyDescent="0.2">
      <c r="P163" s="32"/>
      <c r="Q163" s="33"/>
      <c r="R163" s="28" t="b">
        <f t="shared" si="8"/>
        <v>0</v>
      </c>
      <c r="S163" s="28" t="b">
        <f t="shared" si="9"/>
        <v>0</v>
      </c>
    </row>
    <row r="164" spans="16:19" x14ac:dyDescent="0.2">
      <c r="P164" s="32"/>
      <c r="Q164" s="33"/>
      <c r="R164" s="28" t="b">
        <f t="shared" si="8"/>
        <v>0</v>
      </c>
      <c r="S164" s="28" t="b">
        <f t="shared" si="9"/>
        <v>0</v>
      </c>
    </row>
    <row r="165" spans="16:19" x14ac:dyDescent="0.2">
      <c r="P165" s="32"/>
      <c r="Q165" s="33"/>
      <c r="R165" s="28" t="b">
        <f t="shared" si="8"/>
        <v>0</v>
      </c>
      <c r="S165" s="28" t="b">
        <f t="shared" si="9"/>
        <v>0</v>
      </c>
    </row>
    <row r="166" spans="16:19" x14ac:dyDescent="0.2">
      <c r="P166" s="32"/>
      <c r="Q166" s="33"/>
      <c r="R166" s="28" t="b">
        <f t="shared" si="8"/>
        <v>0</v>
      </c>
      <c r="S166" s="28" t="b">
        <f t="shared" si="9"/>
        <v>0</v>
      </c>
    </row>
    <row r="167" spans="16:19" x14ac:dyDescent="0.2">
      <c r="P167" s="32"/>
      <c r="Q167" s="33"/>
      <c r="R167" s="28" t="b">
        <f t="shared" si="8"/>
        <v>0</v>
      </c>
      <c r="S167" s="28" t="b">
        <f t="shared" si="9"/>
        <v>0</v>
      </c>
    </row>
    <row r="168" spans="16:19" x14ac:dyDescent="0.2">
      <c r="P168" s="32"/>
      <c r="Q168" s="33"/>
      <c r="R168" s="28" t="b">
        <f t="shared" si="8"/>
        <v>0</v>
      </c>
      <c r="S168" s="28" t="b">
        <f t="shared" si="9"/>
        <v>0</v>
      </c>
    </row>
    <row r="169" spans="16:19" x14ac:dyDescent="0.2">
      <c r="P169" s="32"/>
      <c r="Q169" s="33"/>
      <c r="R169" s="28" t="b">
        <f t="shared" si="8"/>
        <v>0</v>
      </c>
      <c r="S169" s="28" t="b">
        <f t="shared" si="9"/>
        <v>0</v>
      </c>
    </row>
    <row r="170" spans="16:19" x14ac:dyDescent="0.2">
      <c r="P170" s="32"/>
      <c r="Q170" s="33"/>
      <c r="R170" s="28" t="b">
        <f t="shared" si="8"/>
        <v>0</v>
      </c>
      <c r="S170" s="28" t="b">
        <f t="shared" si="9"/>
        <v>0</v>
      </c>
    </row>
    <row r="171" spans="16:19" x14ac:dyDescent="0.2">
      <c r="P171" s="32"/>
      <c r="Q171" s="33"/>
      <c r="R171" s="28" t="b">
        <f t="shared" si="8"/>
        <v>0</v>
      </c>
      <c r="S171" s="28" t="b">
        <f t="shared" si="9"/>
        <v>0</v>
      </c>
    </row>
    <row r="172" spans="16:19" x14ac:dyDescent="0.2">
      <c r="P172" s="32"/>
      <c r="Q172" s="33"/>
      <c r="R172" s="28" t="b">
        <f t="shared" si="8"/>
        <v>0</v>
      </c>
      <c r="S172" s="28" t="b">
        <f t="shared" si="9"/>
        <v>0</v>
      </c>
    </row>
    <row r="173" spans="16:19" x14ac:dyDescent="0.2">
      <c r="P173" s="32"/>
      <c r="Q173" s="33"/>
      <c r="R173" s="28" t="b">
        <f t="shared" si="8"/>
        <v>0</v>
      </c>
      <c r="S173" s="28" t="b">
        <f t="shared" si="9"/>
        <v>0</v>
      </c>
    </row>
    <row r="174" spans="16:19" x14ac:dyDescent="0.2">
      <c r="P174" s="32"/>
      <c r="Q174" s="33"/>
      <c r="R174" s="28" t="b">
        <f t="shared" si="8"/>
        <v>0</v>
      </c>
      <c r="S174" s="28" t="b">
        <f t="shared" si="9"/>
        <v>0</v>
      </c>
    </row>
    <row r="175" spans="16:19" x14ac:dyDescent="0.2">
      <c r="P175" s="32"/>
      <c r="Q175" s="33"/>
      <c r="R175" s="28" t="b">
        <f t="shared" si="8"/>
        <v>0</v>
      </c>
      <c r="S175" s="28" t="b">
        <f t="shared" si="9"/>
        <v>0</v>
      </c>
    </row>
    <row r="176" spans="16:19" x14ac:dyDescent="0.2">
      <c r="P176" s="32"/>
      <c r="Q176" s="33"/>
      <c r="R176" s="28" t="b">
        <f t="shared" ref="R176:R199" si="10">IF($P176&gt;0,$B$17+$B$18*$P176)</f>
        <v>0</v>
      </c>
      <c r="S176" s="28" t="b">
        <f t="shared" ref="S176:S199" si="11">IF($P176&gt;0,$Q176-$R176)</f>
        <v>0</v>
      </c>
    </row>
    <row r="177" spans="16:19" x14ac:dyDescent="0.2">
      <c r="P177" s="32"/>
      <c r="Q177" s="33"/>
      <c r="R177" s="28" t="b">
        <f t="shared" si="10"/>
        <v>0</v>
      </c>
      <c r="S177" s="28" t="b">
        <f t="shared" si="11"/>
        <v>0</v>
      </c>
    </row>
    <row r="178" spans="16:19" x14ac:dyDescent="0.2">
      <c r="P178" s="32"/>
      <c r="Q178" s="33"/>
      <c r="R178" s="28" t="b">
        <f t="shared" si="10"/>
        <v>0</v>
      </c>
      <c r="S178" s="28" t="b">
        <f t="shared" si="11"/>
        <v>0</v>
      </c>
    </row>
    <row r="179" spans="16:19" x14ac:dyDescent="0.2">
      <c r="P179" s="32"/>
      <c r="Q179" s="33"/>
      <c r="R179" s="28" t="b">
        <f t="shared" si="10"/>
        <v>0</v>
      </c>
      <c r="S179" s="28" t="b">
        <f t="shared" si="11"/>
        <v>0</v>
      </c>
    </row>
    <row r="180" spans="16:19" x14ac:dyDescent="0.2">
      <c r="P180" s="32"/>
      <c r="Q180" s="33"/>
      <c r="R180" s="28" t="b">
        <f t="shared" si="10"/>
        <v>0</v>
      </c>
      <c r="S180" s="28" t="b">
        <f t="shared" si="11"/>
        <v>0</v>
      </c>
    </row>
    <row r="181" spans="16:19" x14ac:dyDescent="0.2">
      <c r="P181" s="32"/>
      <c r="Q181" s="33"/>
      <c r="R181" s="28" t="b">
        <f t="shared" si="10"/>
        <v>0</v>
      </c>
      <c r="S181" s="28" t="b">
        <f t="shared" si="11"/>
        <v>0</v>
      </c>
    </row>
    <row r="182" spans="16:19" x14ac:dyDescent="0.2">
      <c r="P182" s="32"/>
      <c r="Q182" s="33"/>
      <c r="R182" s="28" t="b">
        <f t="shared" si="10"/>
        <v>0</v>
      </c>
      <c r="S182" s="28" t="b">
        <f t="shared" si="11"/>
        <v>0</v>
      </c>
    </row>
    <row r="183" spans="16:19" x14ac:dyDescent="0.2">
      <c r="P183" s="32"/>
      <c r="Q183" s="33"/>
      <c r="R183" s="28" t="b">
        <f t="shared" si="10"/>
        <v>0</v>
      </c>
      <c r="S183" s="28" t="b">
        <f t="shared" si="11"/>
        <v>0</v>
      </c>
    </row>
    <row r="184" spans="16:19" x14ac:dyDescent="0.2">
      <c r="P184" s="32"/>
      <c r="Q184" s="33"/>
      <c r="R184" s="28" t="b">
        <f t="shared" si="10"/>
        <v>0</v>
      </c>
      <c r="S184" s="28" t="b">
        <f t="shared" si="11"/>
        <v>0</v>
      </c>
    </row>
    <row r="185" spans="16:19" x14ac:dyDescent="0.2">
      <c r="P185" s="32"/>
      <c r="Q185" s="33"/>
      <c r="R185" s="28" t="b">
        <f t="shared" si="10"/>
        <v>0</v>
      </c>
      <c r="S185" s="28" t="b">
        <f t="shared" si="11"/>
        <v>0</v>
      </c>
    </row>
    <row r="186" spans="16:19" x14ac:dyDescent="0.2">
      <c r="P186" s="32"/>
      <c r="Q186" s="33"/>
      <c r="R186" s="28" t="b">
        <f t="shared" si="10"/>
        <v>0</v>
      </c>
      <c r="S186" s="28" t="b">
        <f t="shared" si="11"/>
        <v>0</v>
      </c>
    </row>
    <row r="187" spans="16:19" x14ac:dyDescent="0.2">
      <c r="P187" s="32"/>
      <c r="Q187" s="33"/>
      <c r="R187" s="28" t="b">
        <f t="shared" si="10"/>
        <v>0</v>
      </c>
      <c r="S187" s="28" t="b">
        <f t="shared" si="11"/>
        <v>0</v>
      </c>
    </row>
    <row r="188" spans="16:19" x14ac:dyDescent="0.2">
      <c r="P188" s="32"/>
      <c r="Q188" s="33"/>
      <c r="R188" s="28" t="b">
        <f t="shared" si="10"/>
        <v>0</v>
      </c>
      <c r="S188" s="28" t="b">
        <f t="shared" si="11"/>
        <v>0</v>
      </c>
    </row>
    <row r="189" spans="16:19" x14ac:dyDescent="0.2">
      <c r="P189" s="32"/>
      <c r="Q189" s="33"/>
      <c r="R189" s="28" t="b">
        <f t="shared" si="10"/>
        <v>0</v>
      </c>
      <c r="S189" s="28" t="b">
        <f t="shared" si="11"/>
        <v>0</v>
      </c>
    </row>
    <row r="190" spans="16:19" x14ac:dyDescent="0.2">
      <c r="P190" s="32"/>
      <c r="Q190" s="33"/>
      <c r="R190" s="28" t="b">
        <f t="shared" si="10"/>
        <v>0</v>
      </c>
      <c r="S190" s="28" t="b">
        <f t="shared" si="11"/>
        <v>0</v>
      </c>
    </row>
    <row r="191" spans="16:19" x14ac:dyDescent="0.2">
      <c r="P191" s="32"/>
      <c r="Q191" s="33"/>
      <c r="R191" s="28" t="b">
        <f t="shared" si="10"/>
        <v>0</v>
      </c>
      <c r="S191" s="28" t="b">
        <f t="shared" si="11"/>
        <v>0</v>
      </c>
    </row>
    <row r="192" spans="16:19" x14ac:dyDescent="0.2">
      <c r="P192" s="32"/>
      <c r="Q192" s="33"/>
      <c r="R192" s="28" t="b">
        <f t="shared" si="10"/>
        <v>0</v>
      </c>
      <c r="S192" s="28" t="b">
        <f t="shared" si="11"/>
        <v>0</v>
      </c>
    </row>
    <row r="193" spans="16:19" x14ac:dyDescent="0.2">
      <c r="P193" s="32"/>
      <c r="Q193" s="33"/>
      <c r="R193" s="28" t="b">
        <f t="shared" si="10"/>
        <v>0</v>
      </c>
      <c r="S193" s="28" t="b">
        <f t="shared" si="11"/>
        <v>0</v>
      </c>
    </row>
    <row r="194" spans="16:19" x14ac:dyDescent="0.2">
      <c r="P194" s="32"/>
      <c r="Q194" s="33"/>
      <c r="R194" s="28" t="b">
        <f t="shared" si="10"/>
        <v>0</v>
      </c>
      <c r="S194" s="28" t="b">
        <f t="shared" si="11"/>
        <v>0</v>
      </c>
    </row>
    <row r="195" spans="16:19" x14ac:dyDescent="0.2">
      <c r="P195" s="32"/>
      <c r="Q195" s="33"/>
      <c r="R195" s="28" t="b">
        <f t="shared" si="10"/>
        <v>0</v>
      </c>
      <c r="S195" s="28" t="b">
        <f t="shared" si="11"/>
        <v>0</v>
      </c>
    </row>
    <row r="196" spans="16:19" x14ac:dyDescent="0.2">
      <c r="P196" s="32"/>
      <c r="Q196" s="33"/>
      <c r="R196" s="28" t="b">
        <f t="shared" si="10"/>
        <v>0</v>
      </c>
      <c r="S196" s="28" t="b">
        <f t="shared" si="11"/>
        <v>0</v>
      </c>
    </row>
    <row r="197" spans="16:19" x14ac:dyDescent="0.2">
      <c r="P197" s="32"/>
      <c r="Q197" s="33"/>
      <c r="R197" s="28" t="b">
        <f t="shared" si="10"/>
        <v>0</v>
      </c>
      <c r="S197" s="28" t="b">
        <f t="shared" si="11"/>
        <v>0</v>
      </c>
    </row>
    <row r="198" spans="16:19" x14ac:dyDescent="0.2">
      <c r="P198" s="32"/>
      <c r="Q198" s="33"/>
      <c r="R198" s="28" t="b">
        <f t="shared" si="10"/>
        <v>0</v>
      </c>
      <c r="S198" s="28" t="b">
        <f t="shared" si="11"/>
        <v>0</v>
      </c>
    </row>
    <row r="199" spans="16:19" x14ac:dyDescent="0.2">
      <c r="P199" s="32"/>
      <c r="Q199" s="33"/>
      <c r="R199" s="28" t="b">
        <f t="shared" si="10"/>
        <v>0</v>
      </c>
      <c r="S199" s="28" t="b">
        <f t="shared" si="11"/>
        <v>0</v>
      </c>
    </row>
    <row r="200" spans="16:19" x14ac:dyDescent="0.2">
      <c r="P200" s="32"/>
      <c r="Q200" s="33"/>
      <c r="R200" s="28" t="b">
        <f t="shared" ref="R200:R252" si="12">IF($P200&gt;0,$B$17+$B$18*$P200)</f>
        <v>0</v>
      </c>
      <c r="S200" s="28" t="b">
        <f t="shared" ref="S200:S252" si="13">IF($P200&gt;0,$Q200-$R200)</f>
        <v>0</v>
      </c>
    </row>
    <row r="201" spans="16:19" x14ac:dyDescent="0.2">
      <c r="P201" s="32"/>
      <c r="Q201" s="33"/>
      <c r="R201" s="28" t="b">
        <f t="shared" si="12"/>
        <v>0</v>
      </c>
      <c r="S201" s="28" t="b">
        <f t="shared" si="13"/>
        <v>0</v>
      </c>
    </row>
    <row r="202" spans="16:19" x14ac:dyDescent="0.2">
      <c r="P202" s="32"/>
      <c r="Q202" s="33"/>
      <c r="R202" s="28" t="b">
        <f t="shared" si="12"/>
        <v>0</v>
      </c>
      <c r="S202" s="28" t="b">
        <f t="shared" si="13"/>
        <v>0</v>
      </c>
    </row>
    <row r="203" spans="16:19" x14ac:dyDescent="0.2">
      <c r="P203" s="32"/>
      <c r="Q203" s="33"/>
      <c r="R203" s="28" t="b">
        <f t="shared" si="12"/>
        <v>0</v>
      </c>
      <c r="S203" s="28" t="b">
        <f t="shared" si="13"/>
        <v>0</v>
      </c>
    </row>
    <row r="204" spans="16:19" x14ac:dyDescent="0.2">
      <c r="P204" s="32"/>
      <c r="Q204" s="33"/>
      <c r="R204" s="28" t="b">
        <f t="shared" si="12"/>
        <v>0</v>
      </c>
      <c r="S204" s="28" t="b">
        <f t="shared" si="13"/>
        <v>0</v>
      </c>
    </row>
    <row r="205" spans="16:19" x14ac:dyDescent="0.2">
      <c r="P205" s="32"/>
      <c r="Q205" s="33"/>
      <c r="R205" s="28" t="b">
        <f t="shared" si="12"/>
        <v>0</v>
      </c>
      <c r="S205" s="28" t="b">
        <f t="shared" si="13"/>
        <v>0</v>
      </c>
    </row>
    <row r="206" spans="16:19" x14ac:dyDescent="0.2">
      <c r="P206" s="32"/>
      <c r="Q206" s="33"/>
      <c r="R206" s="28" t="b">
        <f t="shared" si="12"/>
        <v>0</v>
      </c>
      <c r="S206" s="28" t="b">
        <f t="shared" si="13"/>
        <v>0</v>
      </c>
    </row>
    <row r="207" spans="16:19" x14ac:dyDescent="0.2">
      <c r="P207" s="32"/>
      <c r="Q207" s="33"/>
      <c r="R207" s="28" t="b">
        <f t="shared" si="12"/>
        <v>0</v>
      </c>
      <c r="S207" s="28" t="b">
        <f t="shared" si="13"/>
        <v>0</v>
      </c>
    </row>
    <row r="208" spans="16:19" x14ac:dyDescent="0.2">
      <c r="P208" s="32"/>
      <c r="Q208" s="33"/>
      <c r="R208" s="28" t="b">
        <f t="shared" si="12"/>
        <v>0</v>
      </c>
      <c r="S208" s="28" t="b">
        <f t="shared" si="13"/>
        <v>0</v>
      </c>
    </row>
    <row r="209" spans="16:19" x14ac:dyDescent="0.2">
      <c r="P209" s="32"/>
      <c r="Q209" s="33"/>
      <c r="R209" s="28" t="b">
        <f t="shared" si="12"/>
        <v>0</v>
      </c>
      <c r="S209" s="28" t="b">
        <f t="shared" si="13"/>
        <v>0</v>
      </c>
    </row>
    <row r="210" spans="16:19" x14ac:dyDescent="0.2">
      <c r="P210" s="32"/>
      <c r="Q210" s="33"/>
      <c r="R210" s="28" t="b">
        <f t="shared" si="12"/>
        <v>0</v>
      </c>
      <c r="S210" s="28" t="b">
        <f t="shared" si="13"/>
        <v>0</v>
      </c>
    </row>
    <row r="211" spans="16:19" x14ac:dyDescent="0.2">
      <c r="P211" s="32"/>
      <c r="Q211" s="33"/>
      <c r="R211" s="28" t="b">
        <f t="shared" si="12"/>
        <v>0</v>
      </c>
      <c r="S211" s="28" t="b">
        <f t="shared" si="13"/>
        <v>0</v>
      </c>
    </row>
    <row r="212" spans="16:19" x14ac:dyDescent="0.2">
      <c r="P212" s="32"/>
      <c r="Q212" s="33"/>
      <c r="R212" s="28" t="b">
        <f t="shared" si="12"/>
        <v>0</v>
      </c>
      <c r="S212" s="28" t="b">
        <f t="shared" si="13"/>
        <v>0</v>
      </c>
    </row>
    <row r="213" spans="16:19" x14ac:dyDescent="0.2">
      <c r="P213" s="32"/>
      <c r="Q213" s="33"/>
      <c r="R213" s="28" t="b">
        <f t="shared" si="12"/>
        <v>0</v>
      </c>
      <c r="S213" s="28" t="b">
        <f t="shared" si="13"/>
        <v>0</v>
      </c>
    </row>
    <row r="214" spans="16:19" x14ac:dyDescent="0.2">
      <c r="P214" s="32"/>
      <c r="Q214" s="33"/>
      <c r="R214" s="28" t="b">
        <f t="shared" si="12"/>
        <v>0</v>
      </c>
      <c r="S214" s="28" t="b">
        <f t="shared" si="13"/>
        <v>0</v>
      </c>
    </row>
    <row r="215" spans="16:19" x14ac:dyDescent="0.2">
      <c r="P215" s="32"/>
      <c r="Q215" s="33"/>
      <c r="R215" s="28" t="b">
        <f t="shared" si="12"/>
        <v>0</v>
      </c>
      <c r="S215" s="28" t="b">
        <f t="shared" si="13"/>
        <v>0</v>
      </c>
    </row>
    <row r="216" spans="16:19" x14ac:dyDescent="0.2">
      <c r="P216" s="32"/>
      <c r="Q216" s="33"/>
      <c r="R216" s="28" t="b">
        <f t="shared" si="12"/>
        <v>0</v>
      </c>
      <c r="S216" s="28" t="b">
        <f t="shared" si="13"/>
        <v>0</v>
      </c>
    </row>
    <row r="217" spans="16:19" x14ac:dyDescent="0.2">
      <c r="P217" s="32"/>
      <c r="Q217" s="33"/>
      <c r="R217" s="28" t="b">
        <f t="shared" si="12"/>
        <v>0</v>
      </c>
      <c r="S217" s="28" t="b">
        <f t="shared" si="13"/>
        <v>0</v>
      </c>
    </row>
    <row r="218" spans="16:19" x14ac:dyDescent="0.2">
      <c r="P218" s="32"/>
      <c r="Q218" s="33"/>
      <c r="R218" s="28" t="b">
        <f t="shared" si="12"/>
        <v>0</v>
      </c>
      <c r="S218" s="28" t="b">
        <f t="shared" si="13"/>
        <v>0</v>
      </c>
    </row>
    <row r="219" spans="16:19" x14ac:dyDescent="0.2">
      <c r="P219" s="32"/>
      <c r="Q219" s="33"/>
      <c r="R219" s="28" t="b">
        <f t="shared" si="12"/>
        <v>0</v>
      </c>
      <c r="S219" s="28" t="b">
        <f t="shared" si="13"/>
        <v>0</v>
      </c>
    </row>
    <row r="220" spans="16:19" x14ac:dyDescent="0.2">
      <c r="P220" s="32"/>
      <c r="Q220" s="33"/>
      <c r="R220" s="28" t="b">
        <f t="shared" si="12"/>
        <v>0</v>
      </c>
      <c r="S220" s="28" t="b">
        <f t="shared" si="13"/>
        <v>0</v>
      </c>
    </row>
    <row r="221" spans="16:19" x14ac:dyDescent="0.2">
      <c r="P221" s="32"/>
      <c r="Q221" s="33"/>
      <c r="R221" s="28" t="b">
        <f t="shared" si="12"/>
        <v>0</v>
      </c>
      <c r="S221" s="28" t="b">
        <f t="shared" si="13"/>
        <v>0</v>
      </c>
    </row>
    <row r="222" spans="16:19" x14ac:dyDescent="0.2">
      <c r="P222" s="32"/>
      <c r="Q222" s="33"/>
      <c r="R222" s="28" t="b">
        <f t="shared" si="12"/>
        <v>0</v>
      </c>
      <c r="S222" s="28" t="b">
        <f t="shared" si="13"/>
        <v>0</v>
      </c>
    </row>
    <row r="223" spans="16:19" x14ac:dyDescent="0.2">
      <c r="P223" s="32"/>
      <c r="Q223" s="33"/>
      <c r="R223" s="28" t="b">
        <f t="shared" si="12"/>
        <v>0</v>
      </c>
      <c r="S223" s="28" t="b">
        <f t="shared" si="13"/>
        <v>0</v>
      </c>
    </row>
    <row r="224" spans="16:19" x14ac:dyDescent="0.2">
      <c r="P224" s="32"/>
      <c r="Q224" s="33"/>
      <c r="R224" s="28" t="b">
        <f t="shared" si="12"/>
        <v>0</v>
      </c>
      <c r="S224" s="28" t="b">
        <f t="shared" si="13"/>
        <v>0</v>
      </c>
    </row>
    <row r="225" spans="16:19" x14ac:dyDescent="0.2">
      <c r="P225" s="32"/>
      <c r="Q225" s="33"/>
      <c r="R225" s="28" t="b">
        <f t="shared" si="12"/>
        <v>0</v>
      </c>
      <c r="S225" s="28" t="b">
        <f t="shared" si="13"/>
        <v>0</v>
      </c>
    </row>
    <row r="226" spans="16:19" x14ac:dyDescent="0.2">
      <c r="P226" s="32"/>
      <c r="Q226" s="33"/>
      <c r="R226" s="28" t="b">
        <f t="shared" si="12"/>
        <v>0</v>
      </c>
      <c r="S226" s="28" t="b">
        <f t="shared" si="13"/>
        <v>0</v>
      </c>
    </row>
    <row r="227" spans="16:19" x14ac:dyDescent="0.2">
      <c r="P227" s="32"/>
      <c r="Q227" s="33"/>
      <c r="R227" s="28" t="b">
        <f t="shared" si="12"/>
        <v>0</v>
      </c>
      <c r="S227" s="28" t="b">
        <f t="shared" si="13"/>
        <v>0</v>
      </c>
    </row>
    <row r="228" spans="16:19" x14ac:dyDescent="0.2">
      <c r="P228" s="32"/>
      <c r="Q228" s="33"/>
      <c r="R228" s="28" t="b">
        <f t="shared" si="12"/>
        <v>0</v>
      </c>
      <c r="S228" s="28" t="b">
        <f t="shared" si="13"/>
        <v>0</v>
      </c>
    </row>
    <row r="229" spans="16:19" x14ac:dyDescent="0.2">
      <c r="P229" s="32"/>
      <c r="Q229" s="33"/>
      <c r="R229" s="28" t="b">
        <f t="shared" si="12"/>
        <v>0</v>
      </c>
      <c r="S229" s="28" t="b">
        <f t="shared" si="13"/>
        <v>0</v>
      </c>
    </row>
    <row r="230" spans="16:19" x14ac:dyDescent="0.2">
      <c r="P230" s="32"/>
      <c r="Q230" s="33"/>
      <c r="R230" s="28" t="b">
        <f t="shared" si="12"/>
        <v>0</v>
      </c>
      <c r="S230" s="28" t="b">
        <f t="shared" si="13"/>
        <v>0</v>
      </c>
    </row>
    <row r="231" spans="16:19" x14ac:dyDescent="0.2">
      <c r="P231" s="32"/>
      <c r="Q231" s="33"/>
      <c r="R231" s="28" t="b">
        <f t="shared" si="12"/>
        <v>0</v>
      </c>
      <c r="S231" s="28" t="b">
        <f t="shared" si="13"/>
        <v>0</v>
      </c>
    </row>
    <row r="232" spans="16:19" x14ac:dyDescent="0.2">
      <c r="P232" s="32"/>
      <c r="Q232" s="33"/>
      <c r="R232" s="28" t="b">
        <f t="shared" si="12"/>
        <v>0</v>
      </c>
      <c r="S232" s="28" t="b">
        <f t="shared" si="13"/>
        <v>0</v>
      </c>
    </row>
    <row r="233" spans="16:19" x14ac:dyDescent="0.2">
      <c r="P233" s="32"/>
      <c r="Q233" s="33"/>
      <c r="R233" s="28" t="b">
        <f t="shared" si="12"/>
        <v>0</v>
      </c>
      <c r="S233" s="28" t="b">
        <f t="shared" si="13"/>
        <v>0</v>
      </c>
    </row>
    <row r="234" spans="16:19" x14ac:dyDescent="0.2">
      <c r="P234" s="32"/>
      <c r="Q234" s="33"/>
      <c r="R234" s="28" t="b">
        <f t="shared" si="12"/>
        <v>0</v>
      </c>
      <c r="S234" s="28" t="b">
        <f t="shared" si="13"/>
        <v>0</v>
      </c>
    </row>
    <row r="235" spans="16:19" x14ac:dyDescent="0.2">
      <c r="P235" s="32"/>
      <c r="Q235" s="33"/>
      <c r="R235" s="28" t="b">
        <f t="shared" si="12"/>
        <v>0</v>
      </c>
      <c r="S235" s="28" t="b">
        <f t="shared" si="13"/>
        <v>0</v>
      </c>
    </row>
    <row r="236" spans="16:19" x14ac:dyDescent="0.2">
      <c r="P236" s="32"/>
      <c r="Q236" s="33"/>
      <c r="R236" s="28" t="b">
        <f t="shared" si="12"/>
        <v>0</v>
      </c>
      <c r="S236" s="28" t="b">
        <f t="shared" si="13"/>
        <v>0</v>
      </c>
    </row>
    <row r="237" spans="16:19" x14ac:dyDescent="0.2">
      <c r="P237" s="32"/>
      <c r="Q237" s="33"/>
      <c r="R237" s="28" t="b">
        <f t="shared" si="12"/>
        <v>0</v>
      </c>
      <c r="S237" s="28" t="b">
        <f t="shared" si="13"/>
        <v>0</v>
      </c>
    </row>
    <row r="238" spans="16:19" x14ac:dyDescent="0.2">
      <c r="P238" s="32"/>
      <c r="Q238" s="33"/>
      <c r="R238" s="28" t="b">
        <f t="shared" si="12"/>
        <v>0</v>
      </c>
      <c r="S238" s="28" t="b">
        <f t="shared" si="13"/>
        <v>0</v>
      </c>
    </row>
    <row r="239" spans="16:19" x14ac:dyDescent="0.2">
      <c r="P239" s="32"/>
      <c r="Q239" s="33"/>
      <c r="R239" s="28" t="b">
        <f t="shared" si="12"/>
        <v>0</v>
      </c>
      <c r="S239" s="28" t="b">
        <f t="shared" si="13"/>
        <v>0</v>
      </c>
    </row>
    <row r="240" spans="16:19" x14ac:dyDescent="0.2">
      <c r="P240" s="32"/>
      <c r="Q240" s="33"/>
      <c r="R240" s="28" t="b">
        <f t="shared" si="12"/>
        <v>0</v>
      </c>
      <c r="S240" s="28" t="b">
        <f t="shared" si="13"/>
        <v>0</v>
      </c>
    </row>
    <row r="241" spans="16:19" x14ac:dyDescent="0.2">
      <c r="P241" s="32"/>
      <c r="Q241" s="33"/>
      <c r="R241" s="28" t="b">
        <f t="shared" si="12"/>
        <v>0</v>
      </c>
      <c r="S241" s="28" t="b">
        <f t="shared" si="13"/>
        <v>0</v>
      </c>
    </row>
    <row r="242" spans="16:19" x14ac:dyDescent="0.2">
      <c r="P242" s="32"/>
      <c r="Q242" s="33"/>
      <c r="R242" s="28" t="b">
        <f t="shared" si="12"/>
        <v>0</v>
      </c>
      <c r="S242" s="28" t="b">
        <f t="shared" si="13"/>
        <v>0</v>
      </c>
    </row>
    <row r="243" spans="16:19" x14ac:dyDescent="0.2">
      <c r="P243" s="32"/>
      <c r="Q243" s="33"/>
      <c r="R243" s="28" t="b">
        <f t="shared" si="12"/>
        <v>0</v>
      </c>
      <c r="S243" s="28" t="b">
        <f t="shared" si="13"/>
        <v>0</v>
      </c>
    </row>
    <row r="244" spans="16:19" x14ac:dyDescent="0.2">
      <c r="P244" s="32"/>
      <c r="Q244" s="33"/>
      <c r="R244" s="28" t="b">
        <f t="shared" si="12"/>
        <v>0</v>
      </c>
      <c r="S244" s="28" t="b">
        <f t="shared" si="13"/>
        <v>0</v>
      </c>
    </row>
    <row r="245" spans="16:19" x14ac:dyDescent="0.2">
      <c r="P245" s="32"/>
      <c r="Q245" s="33"/>
      <c r="R245" s="28" t="b">
        <f t="shared" si="12"/>
        <v>0</v>
      </c>
      <c r="S245" s="28" t="b">
        <f t="shared" si="13"/>
        <v>0</v>
      </c>
    </row>
    <row r="246" spans="16:19" x14ac:dyDescent="0.2">
      <c r="P246" s="32"/>
      <c r="Q246" s="33"/>
      <c r="R246" s="28" t="b">
        <f t="shared" si="12"/>
        <v>0</v>
      </c>
      <c r="S246" s="28" t="b">
        <f t="shared" si="13"/>
        <v>0</v>
      </c>
    </row>
    <row r="247" spans="16:19" x14ac:dyDescent="0.2">
      <c r="P247" s="32"/>
      <c r="Q247" s="33"/>
      <c r="R247" s="28" t="b">
        <f t="shared" si="12"/>
        <v>0</v>
      </c>
      <c r="S247" s="28" t="b">
        <f t="shared" si="13"/>
        <v>0</v>
      </c>
    </row>
    <row r="248" spans="16:19" x14ac:dyDescent="0.2">
      <c r="P248" s="32"/>
      <c r="Q248" s="33"/>
      <c r="R248" s="28" t="b">
        <f t="shared" si="12"/>
        <v>0</v>
      </c>
      <c r="S248" s="28" t="b">
        <f t="shared" si="13"/>
        <v>0</v>
      </c>
    </row>
    <row r="249" spans="16:19" x14ac:dyDescent="0.2">
      <c r="P249" s="32"/>
      <c r="Q249" s="33"/>
      <c r="R249" s="28" t="b">
        <f t="shared" si="12"/>
        <v>0</v>
      </c>
      <c r="S249" s="28" t="b">
        <f t="shared" si="13"/>
        <v>0</v>
      </c>
    </row>
    <row r="250" spans="16:19" x14ac:dyDescent="0.2">
      <c r="P250" s="32"/>
      <c r="Q250" s="33"/>
      <c r="R250" s="28" t="b">
        <f t="shared" si="12"/>
        <v>0</v>
      </c>
      <c r="S250" s="28" t="b">
        <f t="shared" si="13"/>
        <v>0</v>
      </c>
    </row>
    <row r="251" spans="16:19" x14ac:dyDescent="0.2">
      <c r="P251" s="32"/>
      <c r="Q251" s="33"/>
      <c r="R251" s="28" t="b">
        <f t="shared" si="12"/>
        <v>0</v>
      </c>
      <c r="S251" s="28" t="b">
        <f t="shared" si="13"/>
        <v>0</v>
      </c>
    </row>
    <row r="252" spans="16:19" x14ac:dyDescent="0.2">
      <c r="P252" s="32"/>
      <c r="Q252" s="33"/>
      <c r="R252" s="28" t="b">
        <f t="shared" si="12"/>
        <v>0</v>
      </c>
      <c r="S252" s="28" t="b">
        <f t="shared" si="13"/>
        <v>0</v>
      </c>
    </row>
  </sheetData>
  <sheetProtection selectLockedCells="1"/>
  <mergeCells count="12">
    <mergeCell ref="A38:C38"/>
    <mergeCell ref="A34:C34"/>
    <mergeCell ref="A31:C31"/>
    <mergeCell ref="A20:C20"/>
    <mergeCell ref="E1:G1"/>
    <mergeCell ref="E26:G26"/>
    <mergeCell ref="A1:B2"/>
    <mergeCell ref="C1:C2"/>
    <mergeCell ref="B4:C4"/>
    <mergeCell ref="B3:C3"/>
    <mergeCell ref="A15:C15"/>
    <mergeCell ref="A8:C8"/>
  </mergeCells>
  <phoneticPr fontId="1" type="noConversion"/>
  <pageMargins left="0.39370078740157483" right="0.39370078740157483" top="0.82677165354330717" bottom="0.31496062992125984" header="0.19685039370078741" footer="0.11811023622047245"/>
  <pageSetup paperSize="9" scale="61" orientation="landscape" r:id="rId1"/>
  <headerFooter alignWithMargins="0">
    <oddHeader>&amp;C&amp;"Arial,Fett"&amp;14Ermittlung von Auslöseschwellen nach § 12 (1) DepV</oddHeader>
    <oddFooter>&amp;L&amp;G&amp;RVersion 2.1 (2018)</oddFooter>
  </headerFooter>
  <ignoredErrors>
    <ignoredError sqref="B3:C4" unlockedFormula="1"/>
  </ignoredError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2"/>
  <sheetViews>
    <sheetView zoomScale="75" workbookViewId="0">
      <selection activeCell="C1" sqref="C1:C2"/>
    </sheetView>
  </sheetViews>
  <sheetFormatPr baseColWidth="10" defaultColWidth="11.5703125" defaultRowHeight="12.75" x14ac:dyDescent="0.2"/>
  <cols>
    <col min="1" max="1" width="25.7109375" style="1" customWidth="1"/>
    <col min="2" max="2" width="14.5703125" style="1" customWidth="1"/>
    <col min="3" max="3" width="21.28515625" style="1" customWidth="1"/>
    <col min="4" max="4" width="5.42578125" style="1" customWidth="1"/>
    <col min="5" max="5" width="11.5703125" style="1"/>
    <col min="6" max="6" width="17.5703125" style="1" customWidth="1"/>
    <col min="7" max="7" width="12.42578125" style="1" bestFit="1" customWidth="1"/>
    <col min="8" max="8" width="17.85546875" style="1" customWidth="1"/>
    <col min="9" max="9" width="11.5703125" style="1"/>
    <col min="10" max="10" width="15.140625" style="1" customWidth="1"/>
    <col min="11" max="11" width="12.42578125" style="1" bestFit="1" customWidth="1"/>
    <col min="12" max="12" width="14.42578125" style="1" customWidth="1"/>
    <col min="13" max="13" width="12.42578125" style="1" customWidth="1"/>
    <col min="14" max="14" width="14.7109375" style="1" customWidth="1"/>
    <col min="15" max="15" width="23.28515625" style="1" customWidth="1"/>
    <col min="16" max="16" width="12" style="1" customWidth="1"/>
    <col min="17" max="17" width="15.28515625" style="1" bestFit="1" customWidth="1"/>
    <col min="18" max="16384" width="11.5703125" style="1"/>
  </cols>
  <sheetData>
    <row r="1" spans="1:21" ht="15" customHeight="1" x14ac:dyDescent="0.25">
      <c r="A1" s="149" t="s">
        <v>150</v>
      </c>
      <c r="B1" s="149"/>
      <c r="C1" s="165" t="s">
        <v>149</v>
      </c>
      <c r="D1" s="19"/>
      <c r="E1" s="144" t="s">
        <v>91</v>
      </c>
      <c r="F1" s="144"/>
      <c r="G1" s="144"/>
      <c r="H1" s="19"/>
      <c r="I1" s="19"/>
      <c r="J1" s="19"/>
      <c r="K1" s="19"/>
      <c r="L1" s="19"/>
      <c r="M1" s="19"/>
      <c r="N1" s="35"/>
      <c r="O1" s="19"/>
    </row>
    <row r="2" spans="1:21" ht="15" customHeight="1" x14ac:dyDescent="0.2">
      <c r="A2" s="149"/>
      <c r="B2" s="149"/>
      <c r="C2" s="165"/>
      <c r="D2" s="19"/>
      <c r="E2" s="19"/>
      <c r="F2" s="19"/>
      <c r="G2" s="19"/>
      <c r="H2" s="19"/>
      <c r="I2" s="19"/>
      <c r="J2" s="19"/>
      <c r="K2" s="19"/>
      <c r="L2" s="19"/>
      <c r="M2" s="19"/>
      <c r="N2" s="35"/>
      <c r="O2" s="19"/>
      <c r="P2" s="121" t="s">
        <v>0</v>
      </c>
      <c r="Q2" s="121" t="s">
        <v>34</v>
      </c>
      <c r="R2" s="122" t="s">
        <v>57</v>
      </c>
      <c r="S2" s="122" t="s">
        <v>58</v>
      </c>
    </row>
    <row r="3" spans="1:21" ht="15" customHeight="1" x14ac:dyDescent="0.2">
      <c r="A3" s="118" t="s">
        <v>101</v>
      </c>
      <c r="B3" s="168" t="str">
        <f>pH!B3</f>
        <v>Deponie Gruselsumpf</v>
      </c>
      <c r="C3" s="168"/>
      <c r="D3" s="19"/>
      <c r="E3" s="19"/>
      <c r="F3" s="19"/>
      <c r="G3" s="19"/>
      <c r="H3" s="36"/>
      <c r="I3" s="19"/>
      <c r="J3" s="19"/>
      <c r="K3" s="19"/>
      <c r="L3" s="19"/>
      <c r="M3" s="19"/>
      <c r="N3" s="19"/>
      <c r="O3" s="19"/>
      <c r="P3" s="32">
        <v>33344</v>
      </c>
      <c r="Q3" s="33">
        <v>21.9</v>
      </c>
      <c r="R3" s="28">
        <f>IF($P3&gt;0,$B$17+$B$18*$P3)</f>
        <v>21.346338806095673</v>
      </c>
      <c r="S3" s="28">
        <f>IF($P3&gt;0,$Q3-$R3)</f>
        <v>0.55366119390432544</v>
      </c>
    </row>
    <row r="4" spans="1:21" ht="15" customHeight="1" x14ac:dyDescent="0.2">
      <c r="A4" s="118" t="s">
        <v>102</v>
      </c>
      <c r="B4" s="166" t="str">
        <f>pH!B4</f>
        <v>WG9999</v>
      </c>
      <c r="C4" s="16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48">
        <v>33444</v>
      </c>
      <c r="Q4" s="49">
        <v>21.1</v>
      </c>
      <c r="R4" s="28">
        <f t="shared" ref="R4:R67" si="0">IF($P4&gt;0,$B$17+$B$18*$P4)</f>
        <v>20.926710911414261</v>
      </c>
      <c r="S4" s="28">
        <f t="shared" ref="S4:S67" si="1">IF($P4&gt;0,$Q4-$R4)</f>
        <v>0.1732890885857401</v>
      </c>
    </row>
    <row r="5" spans="1:21" ht="15" customHeight="1" x14ac:dyDescent="0.2">
      <c r="A5" s="131" t="s">
        <v>103</v>
      </c>
      <c r="B5" s="29" t="s">
        <v>100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32">
        <v>33526</v>
      </c>
      <c r="Q5" s="33">
        <v>21.5</v>
      </c>
      <c r="R5" s="28">
        <f t="shared" si="0"/>
        <v>20.582616037775495</v>
      </c>
      <c r="S5" s="28">
        <f t="shared" si="1"/>
        <v>0.91738396222450547</v>
      </c>
    </row>
    <row r="6" spans="1:21" ht="15" customHeight="1" x14ac:dyDescent="0.2">
      <c r="A6" s="131" t="s">
        <v>18</v>
      </c>
      <c r="B6" s="34">
        <v>0.75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32">
        <v>33616</v>
      </c>
      <c r="Q6" s="33">
        <v>23.8</v>
      </c>
      <c r="R6" s="28">
        <f t="shared" si="0"/>
        <v>20.204950932562241</v>
      </c>
      <c r="S6" s="28">
        <f t="shared" si="1"/>
        <v>3.5950490674377598</v>
      </c>
    </row>
    <row r="7" spans="1:21" ht="15" customHeight="1" x14ac:dyDescent="0.2">
      <c r="A7" s="26"/>
      <c r="B7" s="19"/>
      <c r="C7" s="19"/>
      <c r="D7" s="19"/>
      <c r="E7" s="19"/>
      <c r="F7" s="19"/>
      <c r="G7" s="36"/>
      <c r="H7" s="19"/>
      <c r="I7" s="19"/>
      <c r="J7" s="19"/>
      <c r="K7" s="19"/>
      <c r="L7" s="19"/>
      <c r="M7" s="19"/>
      <c r="N7" s="19"/>
      <c r="O7" s="19"/>
      <c r="P7" s="32">
        <v>33701</v>
      </c>
      <c r="Q7" s="33">
        <v>24.7</v>
      </c>
      <c r="R7" s="28">
        <f t="shared" si="0"/>
        <v>19.848267222083024</v>
      </c>
      <c r="S7" s="28">
        <f t="shared" si="1"/>
        <v>4.8517327779169754</v>
      </c>
    </row>
    <row r="8" spans="1:21" ht="15" customHeight="1" x14ac:dyDescent="0.25">
      <c r="A8" s="140" t="s">
        <v>12</v>
      </c>
      <c r="B8" s="140"/>
      <c r="C8" s="140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32">
        <v>33772</v>
      </c>
      <c r="Q8" s="33">
        <v>27.6</v>
      </c>
      <c r="R8" s="28">
        <f t="shared" si="0"/>
        <v>19.550331416859223</v>
      </c>
      <c r="S8" s="28">
        <f t="shared" si="1"/>
        <v>8.0496685831407788</v>
      </c>
    </row>
    <row r="9" spans="1:21" ht="15" customHeight="1" x14ac:dyDescent="0.2">
      <c r="A9" s="118" t="s">
        <v>11</v>
      </c>
      <c r="B9" s="20">
        <f>COUNT($Q3:$Q252)</f>
        <v>38</v>
      </c>
      <c r="C9" s="5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32">
        <v>33872</v>
      </c>
      <c r="Q9" s="33">
        <v>16.100000000000001</v>
      </c>
      <c r="R9" s="28">
        <f t="shared" si="0"/>
        <v>19.130703522177839</v>
      </c>
      <c r="S9" s="28">
        <f t="shared" si="1"/>
        <v>-3.0307035221778378</v>
      </c>
    </row>
    <row r="10" spans="1:21" ht="15" customHeight="1" x14ac:dyDescent="0.2">
      <c r="A10" s="118" t="s">
        <v>7</v>
      </c>
      <c r="B10" s="21">
        <f>MIN($Q3:$Q252)</f>
        <v>2.6</v>
      </c>
      <c r="C10" s="50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32">
        <v>33989</v>
      </c>
      <c r="Q10" s="33">
        <v>16.3</v>
      </c>
      <c r="R10" s="28">
        <f t="shared" si="0"/>
        <v>18.63973888540059</v>
      </c>
      <c r="S10" s="28">
        <f t="shared" si="1"/>
        <v>-2.3397388854005889</v>
      </c>
    </row>
    <row r="11" spans="1:21" ht="15" customHeight="1" x14ac:dyDescent="0.2">
      <c r="A11" s="118" t="s">
        <v>8</v>
      </c>
      <c r="B11" s="21">
        <f>MAX($Q3:$Q252)</f>
        <v>27.6</v>
      </c>
      <c r="C11" s="50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32">
        <v>34075</v>
      </c>
      <c r="Q11" s="33">
        <v>16.7</v>
      </c>
      <c r="R11" s="28">
        <f t="shared" si="0"/>
        <v>18.278858895974565</v>
      </c>
      <c r="S11" s="28">
        <f t="shared" si="1"/>
        <v>-1.578858895974566</v>
      </c>
      <c r="U11" s="3"/>
    </row>
    <row r="12" spans="1:21" ht="15" customHeight="1" x14ac:dyDescent="0.2">
      <c r="A12" s="118" t="s">
        <v>68</v>
      </c>
      <c r="B12" s="21">
        <f>MEDIAN($Q3:$Q252)</f>
        <v>13.8</v>
      </c>
      <c r="C12" s="5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32">
        <v>34159</v>
      </c>
      <c r="Q12" s="33">
        <v>14.2</v>
      </c>
      <c r="R12" s="28">
        <f t="shared" si="0"/>
        <v>17.926371464442184</v>
      </c>
      <c r="S12" s="28">
        <f t="shared" si="1"/>
        <v>-3.7263714644421846</v>
      </c>
    </row>
    <row r="13" spans="1:21" ht="15" customHeight="1" x14ac:dyDescent="0.2">
      <c r="A13" s="118" t="s">
        <v>69</v>
      </c>
      <c r="B13" s="20" t="str">
        <f>IF(ABS($B$16)&gt;$J$58,"&gt; 99%",IF(ABS($B$16)&gt;$I$58,"&gt; 95%","nicht signifikant"))</f>
        <v>&gt; 99%</v>
      </c>
      <c r="C13" s="50"/>
      <c r="D13" s="19"/>
      <c r="E13" s="19"/>
      <c r="F13" s="19"/>
      <c r="G13" s="19"/>
      <c r="H13" s="19"/>
      <c r="I13" s="19"/>
      <c r="J13" s="36"/>
      <c r="K13" s="19"/>
      <c r="L13" s="19"/>
      <c r="M13" s="19"/>
      <c r="N13" s="19"/>
      <c r="O13" s="19"/>
      <c r="P13" s="32">
        <v>34263</v>
      </c>
      <c r="Q13" s="33">
        <v>15.9</v>
      </c>
      <c r="R13" s="28">
        <f t="shared" si="0"/>
        <v>17.489958453973514</v>
      </c>
      <c r="S13" s="28">
        <f t="shared" si="1"/>
        <v>-1.5899584539735141</v>
      </c>
    </row>
    <row r="14" spans="1:21" ht="15" customHeight="1" x14ac:dyDescent="0.2">
      <c r="A14" s="26"/>
      <c r="B14" s="26"/>
      <c r="C14" s="26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32">
        <v>34348</v>
      </c>
      <c r="Q14" s="33">
        <v>13.7</v>
      </c>
      <c r="R14" s="28">
        <f t="shared" si="0"/>
        <v>17.133274743494326</v>
      </c>
      <c r="S14" s="28">
        <f t="shared" si="1"/>
        <v>-3.4332747434943265</v>
      </c>
    </row>
    <row r="15" spans="1:21" ht="15" customHeight="1" x14ac:dyDescent="0.25">
      <c r="A15" s="140" t="s">
        <v>42</v>
      </c>
      <c r="B15" s="140"/>
      <c r="C15" s="14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32">
        <v>34429</v>
      </c>
      <c r="Q15" s="33">
        <v>12.6</v>
      </c>
      <c r="R15" s="28">
        <f t="shared" si="0"/>
        <v>16.793376148802395</v>
      </c>
      <c r="S15" s="28">
        <f t="shared" si="1"/>
        <v>-4.1933761488023951</v>
      </c>
    </row>
    <row r="16" spans="1:21" ht="15" customHeight="1" x14ac:dyDescent="0.2">
      <c r="A16" s="119" t="s">
        <v>83</v>
      </c>
      <c r="B16" s="22">
        <f>CORREL($Q$3:$Q$252,$P$3:$P$252)</f>
        <v>-0.78368713347279917</v>
      </c>
      <c r="C16" s="5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32">
        <v>34611</v>
      </c>
      <c r="Q16" s="33">
        <v>10.1</v>
      </c>
      <c r="R16" s="28">
        <f t="shared" si="0"/>
        <v>16.029653380482216</v>
      </c>
      <c r="S16" s="28">
        <f t="shared" si="1"/>
        <v>-5.9296533804822165</v>
      </c>
    </row>
    <row r="17" spans="1:19" ht="15" customHeight="1" x14ac:dyDescent="0.2">
      <c r="A17" s="119" t="s">
        <v>84</v>
      </c>
      <c r="B17" s="22">
        <f>INTERCEPT($Q$3:$Q$252,$P$3:$P$252)</f>
        <v>161.26706400866428</v>
      </c>
      <c r="C17" s="5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32">
        <v>34704</v>
      </c>
      <c r="Q17" s="33">
        <v>12.1</v>
      </c>
      <c r="R17" s="28">
        <f t="shared" si="0"/>
        <v>15.639399438428512</v>
      </c>
      <c r="S17" s="28">
        <f t="shared" si="1"/>
        <v>-3.5393994384285126</v>
      </c>
    </row>
    <row r="18" spans="1:19" ht="15" customHeight="1" x14ac:dyDescent="0.2">
      <c r="A18" s="119" t="s">
        <v>39</v>
      </c>
      <c r="B18" s="22">
        <f>SLOPE($Q$3:$Q$252,$P$3:$P$252)</f>
        <v>-4.196278946814078E-3</v>
      </c>
      <c r="C18" s="50"/>
      <c r="D18" s="19"/>
      <c r="E18" s="19"/>
      <c r="F18" s="19"/>
      <c r="G18" s="19"/>
      <c r="H18" s="19"/>
      <c r="I18" s="19"/>
      <c r="J18" s="37"/>
      <c r="K18" s="19"/>
      <c r="L18" s="19"/>
      <c r="M18" s="19"/>
      <c r="N18" s="19"/>
      <c r="O18" s="19"/>
      <c r="P18" s="32">
        <v>34795</v>
      </c>
      <c r="Q18" s="33">
        <v>13.1</v>
      </c>
      <c r="R18" s="28">
        <f t="shared" si="0"/>
        <v>15.257538054268423</v>
      </c>
      <c r="S18" s="28">
        <f t="shared" si="1"/>
        <v>-2.1575380542684233</v>
      </c>
    </row>
    <row r="19" spans="1:19" ht="15" customHeight="1" x14ac:dyDescent="0.2">
      <c r="A19" s="26"/>
      <c r="B19" s="26"/>
      <c r="C19" s="26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32">
        <v>34886</v>
      </c>
      <c r="Q19" s="33">
        <v>12.1</v>
      </c>
      <c r="R19" s="28">
        <f t="shared" si="0"/>
        <v>14.875676670108362</v>
      </c>
      <c r="S19" s="28">
        <f t="shared" si="1"/>
        <v>-2.7756766701083624</v>
      </c>
    </row>
    <row r="20" spans="1:19" ht="15" customHeight="1" x14ac:dyDescent="0.25">
      <c r="A20" s="140" t="s">
        <v>63</v>
      </c>
      <c r="B20" s="140"/>
      <c r="C20" s="140"/>
      <c r="D20" s="19"/>
      <c r="E20" s="19"/>
      <c r="F20" s="19"/>
      <c r="G20" s="19"/>
      <c r="H20" s="19"/>
      <c r="I20" s="35"/>
      <c r="J20" s="19"/>
      <c r="K20" s="38"/>
      <c r="L20" s="19"/>
      <c r="M20" s="19"/>
      <c r="N20" s="19"/>
      <c r="O20" s="19"/>
      <c r="P20" s="32">
        <v>34988</v>
      </c>
      <c r="Q20" s="33">
        <v>15.8</v>
      </c>
      <c r="R20" s="28">
        <f t="shared" si="0"/>
        <v>14.447656217533307</v>
      </c>
      <c r="S20" s="28">
        <f t="shared" si="1"/>
        <v>1.3523437824666935</v>
      </c>
    </row>
    <row r="21" spans="1:19" ht="15" customHeight="1" x14ac:dyDescent="0.2">
      <c r="A21" s="118" t="s">
        <v>7</v>
      </c>
      <c r="B21" s="21">
        <f>MIN($S$3:$S$252)</f>
        <v>-7.1981791444633192</v>
      </c>
      <c r="C21" s="5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32">
        <v>35068</v>
      </c>
      <c r="Q21" s="33">
        <v>13.1</v>
      </c>
      <c r="R21" s="28">
        <f t="shared" si="0"/>
        <v>14.111953901788183</v>
      </c>
      <c r="S21" s="28">
        <f t="shared" si="1"/>
        <v>-1.0119539017881838</v>
      </c>
    </row>
    <row r="22" spans="1:19" ht="15" customHeight="1" x14ac:dyDescent="0.2">
      <c r="A22" s="118" t="s">
        <v>8</v>
      </c>
      <c r="B22" s="21">
        <f>MAX($S$3:$S$252)</f>
        <v>8.0496685831407788</v>
      </c>
      <c r="C22" s="5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32">
        <v>35164</v>
      </c>
      <c r="Q22" s="33">
        <v>12.9</v>
      </c>
      <c r="R22" s="28">
        <f t="shared" si="0"/>
        <v>13.709111122894029</v>
      </c>
      <c r="S22" s="28">
        <f t="shared" si="1"/>
        <v>-0.80911112289402887</v>
      </c>
    </row>
    <row r="23" spans="1:19" ht="15" customHeight="1" x14ac:dyDescent="0.2">
      <c r="A23" s="118" t="s">
        <v>68</v>
      </c>
      <c r="B23" s="21">
        <f>MEDIAN($S$3:$S$252)</f>
        <v>-0.38487961289933725</v>
      </c>
      <c r="C23" s="5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32">
        <v>35249</v>
      </c>
      <c r="Q23" s="33">
        <v>20.9</v>
      </c>
      <c r="R23" s="28">
        <f t="shared" si="0"/>
        <v>13.352427412414841</v>
      </c>
      <c r="S23" s="28">
        <f t="shared" si="1"/>
        <v>7.547572587585158</v>
      </c>
    </row>
    <row r="24" spans="1:19" ht="15" customHeight="1" x14ac:dyDescent="0.2">
      <c r="A24" s="118" t="s">
        <v>73</v>
      </c>
      <c r="B24" s="21">
        <f>AVERAGE($S$3:$S$252)</f>
        <v>9.2090078253118246E-15</v>
      </c>
      <c r="C24" s="5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2">
        <v>35361</v>
      </c>
      <c r="Q24" s="33">
        <v>14</v>
      </c>
      <c r="R24" s="28">
        <f t="shared" si="0"/>
        <v>12.882444170371656</v>
      </c>
      <c r="S24" s="28">
        <f t="shared" si="1"/>
        <v>1.1175558296283441</v>
      </c>
    </row>
    <row r="25" spans="1:19" ht="15" customHeight="1" x14ac:dyDescent="0.2">
      <c r="A25" s="118" t="s">
        <v>75</v>
      </c>
      <c r="B25" s="23">
        <f>STDEV($S$3:$S$252)</f>
        <v>3.5027557176878403</v>
      </c>
      <c r="C25" s="5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32">
        <v>35443</v>
      </c>
      <c r="Q25" s="33">
        <v>14.4</v>
      </c>
      <c r="R25" s="28">
        <f t="shared" si="0"/>
        <v>12.538349296732918</v>
      </c>
      <c r="S25" s="28">
        <f t="shared" si="1"/>
        <v>1.8616507032670828</v>
      </c>
    </row>
    <row r="26" spans="1:19" ht="15" customHeight="1" x14ac:dyDescent="0.25">
      <c r="A26" s="118" t="s">
        <v>92</v>
      </c>
      <c r="B26" s="24">
        <f>((NORMINV(0.83,B24,B25)-B23)-(B23-NORMINV(0.17,B24,B25)))/(NORMINV(0.83,B24,B25)-NORMINV(0.17,B24,B25))</f>
        <v>0.11515729612955841</v>
      </c>
      <c r="C26" s="50"/>
      <c r="D26" s="19"/>
      <c r="E26" s="144"/>
      <c r="F26" s="144"/>
      <c r="G26" s="144"/>
      <c r="H26" s="19"/>
      <c r="I26" s="19"/>
      <c r="J26" s="19"/>
      <c r="K26" s="19"/>
      <c r="L26" s="19"/>
      <c r="M26" s="19"/>
      <c r="N26" s="19"/>
      <c r="O26" s="19"/>
      <c r="P26" s="32">
        <v>35538</v>
      </c>
      <c r="Q26" s="33">
        <v>17.5</v>
      </c>
      <c r="R26" s="28">
        <f t="shared" si="0"/>
        <v>12.139702796785571</v>
      </c>
      <c r="S26" s="28">
        <f t="shared" si="1"/>
        <v>5.3602972032144294</v>
      </c>
    </row>
    <row r="27" spans="1:19" ht="15" customHeight="1" x14ac:dyDescent="0.2">
      <c r="A27" s="118" t="s">
        <v>85</v>
      </c>
      <c r="B27" s="21">
        <f>NORMINV(0.95,0,B25)</f>
        <v>5.761520446563849</v>
      </c>
      <c r="C27" s="5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32">
        <v>35622</v>
      </c>
      <c r="Q27" s="33">
        <v>14.3</v>
      </c>
      <c r="R27" s="28">
        <f t="shared" si="0"/>
        <v>11.787215365253189</v>
      </c>
      <c r="S27" s="28">
        <f t="shared" si="1"/>
        <v>2.5127846347468115</v>
      </c>
    </row>
    <row r="28" spans="1:19" ht="15" customHeight="1" x14ac:dyDescent="0.2">
      <c r="A28" s="118" t="s">
        <v>86</v>
      </c>
      <c r="B28" s="21">
        <f>NORMINV(0.98,0,B25)</f>
        <v>7.193780739410788</v>
      </c>
      <c r="C28" s="5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32">
        <v>35725</v>
      </c>
      <c r="Q28" s="33">
        <v>13.2</v>
      </c>
      <c r="R28" s="28">
        <f t="shared" si="0"/>
        <v>11.354998633731356</v>
      </c>
      <c r="S28" s="28">
        <f t="shared" si="1"/>
        <v>1.8450013662686437</v>
      </c>
    </row>
    <row r="29" spans="1:19" ht="15" customHeight="1" x14ac:dyDescent="0.2">
      <c r="A29" s="118" t="s">
        <v>44</v>
      </c>
      <c r="B29" s="20" t="str">
        <f>IF(((B22-B21)/B25)&gt;INDEX(XX!B4:'XX'!B150,B9-3),"ja","nein")</f>
        <v>ja</v>
      </c>
      <c r="C29" s="5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32">
        <v>35803</v>
      </c>
      <c r="Q29" s="33">
        <v>13.9</v>
      </c>
      <c r="R29" s="28">
        <f t="shared" si="0"/>
        <v>11.027688875879846</v>
      </c>
      <c r="S29" s="28">
        <f t="shared" si="1"/>
        <v>2.872311124120154</v>
      </c>
    </row>
    <row r="30" spans="1:19" ht="15" customHeight="1" x14ac:dyDescent="0.2">
      <c r="A30" s="26"/>
      <c r="B30" s="26"/>
      <c r="C30" s="26"/>
      <c r="D30" s="19"/>
      <c r="E30" s="47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32">
        <v>35891</v>
      </c>
      <c r="Q30" s="33">
        <v>9.9</v>
      </c>
      <c r="R30" s="28">
        <f t="shared" si="0"/>
        <v>10.658416328560207</v>
      </c>
      <c r="S30" s="28">
        <f t="shared" si="1"/>
        <v>-0.75841632856020702</v>
      </c>
    </row>
    <row r="31" spans="1:19" ht="15" customHeight="1" x14ac:dyDescent="0.25">
      <c r="A31" s="164" t="s">
        <v>88</v>
      </c>
      <c r="B31" s="164"/>
      <c r="C31" s="164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32">
        <v>35978</v>
      </c>
      <c r="Q31" s="33">
        <v>10.6</v>
      </c>
      <c r="R31" s="28">
        <f t="shared" si="0"/>
        <v>10.293340060187376</v>
      </c>
      <c r="S31" s="28">
        <f t="shared" si="1"/>
        <v>0.30665993981262396</v>
      </c>
    </row>
    <row r="32" spans="1:19" ht="15" customHeight="1" x14ac:dyDescent="0.2">
      <c r="A32" s="131" t="s">
        <v>89</v>
      </c>
      <c r="B32" s="30">
        <v>600</v>
      </c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32">
        <v>36096</v>
      </c>
      <c r="Q32" s="33">
        <v>2.6</v>
      </c>
      <c r="R32" s="28">
        <f t="shared" si="0"/>
        <v>9.7981791444633188</v>
      </c>
      <c r="S32" s="28">
        <f t="shared" si="1"/>
        <v>-7.1981791444633192</v>
      </c>
    </row>
    <row r="33" spans="1:19" ht="15" customHeight="1" x14ac:dyDescent="0.2">
      <c r="A33" s="26"/>
      <c r="B33" s="26"/>
      <c r="C33" s="26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32">
        <v>36217</v>
      </c>
      <c r="Q33" s="33">
        <v>12</v>
      </c>
      <c r="R33" s="28">
        <f t="shared" si="0"/>
        <v>9.2904293918988117</v>
      </c>
      <c r="S33" s="28">
        <f t="shared" si="1"/>
        <v>2.7095706081011883</v>
      </c>
    </row>
    <row r="34" spans="1:19" ht="15" customHeight="1" x14ac:dyDescent="0.25">
      <c r="A34" s="140" t="s">
        <v>59</v>
      </c>
      <c r="B34" s="140"/>
      <c r="C34" s="140"/>
      <c r="D34" s="19"/>
      <c r="E34" s="120" t="s">
        <v>60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32">
        <v>36258</v>
      </c>
      <c r="Q34" s="33">
        <v>6.3</v>
      </c>
      <c r="R34" s="28">
        <f t="shared" si="0"/>
        <v>9.1183819550794283</v>
      </c>
      <c r="S34" s="28">
        <f t="shared" si="1"/>
        <v>-2.8183819550794285</v>
      </c>
    </row>
    <row r="35" spans="1:19" ht="15" customHeight="1" x14ac:dyDescent="0.2">
      <c r="A35" s="131" t="s">
        <v>87</v>
      </c>
      <c r="B35" s="31">
        <v>37257</v>
      </c>
      <c r="C35" s="31">
        <v>38868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32">
        <v>36355</v>
      </c>
      <c r="Q35" s="33">
        <v>8.6999999999999993</v>
      </c>
      <c r="R35" s="28">
        <f t="shared" si="0"/>
        <v>8.7113428972384668</v>
      </c>
      <c r="S35" s="28">
        <f t="shared" si="1"/>
        <v>-1.1342897238467486E-2</v>
      </c>
    </row>
    <row r="36" spans="1:19" ht="15" customHeight="1" x14ac:dyDescent="0.2">
      <c r="A36" s="118" t="s">
        <v>54</v>
      </c>
      <c r="B36" s="25">
        <f>B35-B32</f>
        <v>36657</v>
      </c>
      <c r="C36" s="25">
        <f>C35-B32</f>
        <v>38268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32">
        <v>36453</v>
      </c>
      <c r="Q36" s="33">
        <v>14.2</v>
      </c>
      <c r="R36" s="28">
        <f t="shared" si="0"/>
        <v>8.300107560450698</v>
      </c>
      <c r="S36" s="28">
        <f t="shared" si="1"/>
        <v>5.8998924395493013</v>
      </c>
    </row>
    <row r="37" spans="1:19" ht="15" customHeight="1" x14ac:dyDescent="0.2">
      <c r="A37" s="26"/>
      <c r="B37" s="26"/>
      <c r="C37" s="27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32">
        <v>36530</v>
      </c>
      <c r="Q37" s="33">
        <v>6.2</v>
      </c>
      <c r="R37" s="28">
        <f t="shared" si="0"/>
        <v>7.9769940815459961</v>
      </c>
      <c r="S37" s="28">
        <f t="shared" si="1"/>
        <v>-1.7769940815459959</v>
      </c>
    </row>
    <row r="38" spans="1:19" ht="15" customHeight="1" x14ac:dyDescent="0.25">
      <c r="A38" s="140" t="s">
        <v>90</v>
      </c>
      <c r="B38" s="140"/>
      <c r="C38" s="140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32">
        <v>36635</v>
      </c>
      <c r="Q38" s="33">
        <v>5.3</v>
      </c>
      <c r="R38" s="28">
        <f t="shared" si="0"/>
        <v>7.5363847921305194</v>
      </c>
      <c r="S38" s="28">
        <f t="shared" si="1"/>
        <v>-2.2363847921305195</v>
      </c>
    </row>
    <row r="39" spans="1:19" ht="15" customHeight="1" x14ac:dyDescent="0.2">
      <c r="A39" s="119" t="s">
        <v>67</v>
      </c>
      <c r="B39" s="21">
        <f>MAX($B$17+$B$18*$B36+$B$28+0.5*$B$6,$B$17+$B$18*$C36+$B$28+0.5*$B$6,$B$6)</f>
        <v>15.012847394711404</v>
      </c>
      <c r="C39" s="50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32">
        <v>36712</v>
      </c>
      <c r="Q39" s="33">
        <v>8.6</v>
      </c>
      <c r="R39" s="28">
        <f t="shared" si="0"/>
        <v>7.2132713132258459</v>
      </c>
      <c r="S39" s="28">
        <f t="shared" si="1"/>
        <v>1.3867286867741537</v>
      </c>
    </row>
    <row r="40" spans="1:19" ht="15" x14ac:dyDescent="0.2">
      <c r="A40" s="119" t="s">
        <v>61</v>
      </c>
      <c r="B40" s="21">
        <f>INDEX($R$3:$R$252,B9)+$B$28+0.5*$B$6</f>
        <v>14.366620436902029</v>
      </c>
      <c r="C40" s="50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32">
        <v>36811</v>
      </c>
      <c r="Q40" s="33">
        <v>4.8</v>
      </c>
      <c r="R40" s="28">
        <f t="shared" si="0"/>
        <v>6.7978396974912414</v>
      </c>
      <c r="S40" s="28">
        <f t="shared" si="1"/>
        <v>-1.9978396974912416</v>
      </c>
    </row>
    <row r="41" spans="1:19" ht="15.75" x14ac:dyDescent="0.25">
      <c r="A41" s="117" t="s">
        <v>81</v>
      </c>
      <c r="B41" s="96">
        <f>IF($B$18&gt;0,B39,MAX(B40,B39))</f>
        <v>15.012847394711404</v>
      </c>
      <c r="C41" s="51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32"/>
      <c r="Q41" s="33"/>
      <c r="R41" s="28" t="b">
        <f t="shared" si="0"/>
        <v>0</v>
      </c>
      <c r="S41" s="28" t="b">
        <f t="shared" si="1"/>
        <v>0</v>
      </c>
    </row>
    <row r="42" spans="1:19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32"/>
      <c r="Q42" s="33"/>
      <c r="R42" s="28" t="b">
        <f t="shared" si="0"/>
        <v>0</v>
      </c>
      <c r="S42" s="28" t="b">
        <f t="shared" si="1"/>
        <v>0</v>
      </c>
    </row>
    <row r="43" spans="1:19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32"/>
      <c r="Q43" s="33"/>
      <c r="R43" s="28" t="b">
        <f t="shared" si="0"/>
        <v>0</v>
      </c>
      <c r="S43" s="28" t="b">
        <f t="shared" si="1"/>
        <v>0</v>
      </c>
    </row>
    <row r="44" spans="1:19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32"/>
      <c r="Q44" s="33"/>
      <c r="R44" s="28" t="b">
        <f t="shared" si="0"/>
        <v>0</v>
      </c>
      <c r="S44" s="28" t="b">
        <f t="shared" si="1"/>
        <v>0</v>
      </c>
    </row>
    <row r="45" spans="1:19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32"/>
      <c r="Q45" s="33"/>
      <c r="R45" s="28" t="b">
        <f t="shared" si="0"/>
        <v>0</v>
      </c>
      <c r="S45" s="28" t="b">
        <f t="shared" si="1"/>
        <v>0</v>
      </c>
    </row>
    <row r="46" spans="1:19" x14ac:dyDescent="0.2">
      <c r="A46" s="19"/>
      <c r="B46" s="37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32"/>
      <c r="Q46" s="33"/>
      <c r="R46" s="28" t="b">
        <f t="shared" si="0"/>
        <v>0</v>
      </c>
      <c r="S46" s="28" t="b">
        <f t="shared" si="1"/>
        <v>0</v>
      </c>
    </row>
    <row r="47" spans="1:19" x14ac:dyDescent="0.2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32"/>
      <c r="Q47" s="33"/>
      <c r="R47" s="28" t="b">
        <f t="shared" si="0"/>
        <v>0</v>
      </c>
      <c r="S47" s="28" t="b">
        <f t="shared" si="1"/>
        <v>0</v>
      </c>
    </row>
    <row r="48" spans="1:19" x14ac:dyDescent="0.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32"/>
      <c r="Q48" s="33"/>
      <c r="R48" s="28" t="b">
        <f t="shared" si="0"/>
        <v>0</v>
      </c>
      <c r="S48" s="28" t="b">
        <f t="shared" si="1"/>
        <v>0</v>
      </c>
    </row>
    <row r="49" spans="1:19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32"/>
      <c r="Q49" s="33"/>
      <c r="R49" s="28" t="b">
        <f t="shared" si="0"/>
        <v>0</v>
      </c>
      <c r="S49" s="28" t="b">
        <f t="shared" si="1"/>
        <v>0</v>
      </c>
    </row>
    <row r="50" spans="1:19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32"/>
      <c r="Q50" s="33"/>
      <c r="R50" s="28" t="b">
        <f t="shared" si="0"/>
        <v>0</v>
      </c>
      <c r="S50" s="28" t="b">
        <f t="shared" si="1"/>
        <v>0</v>
      </c>
    </row>
    <row r="51" spans="1:19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32"/>
      <c r="Q51" s="33"/>
      <c r="R51" s="28" t="b">
        <f t="shared" si="0"/>
        <v>0</v>
      </c>
      <c r="S51" s="28" t="b">
        <f t="shared" si="1"/>
        <v>0</v>
      </c>
    </row>
    <row r="52" spans="1:19" x14ac:dyDescent="0.2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32"/>
      <c r="Q52" s="33"/>
      <c r="R52" s="28" t="b">
        <f t="shared" si="0"/>
        <v>0</v>
      </c>
      <c r="S52" s="28" t="b">
        <f t="shared" si="1"/>
        <v>0</v>
      </c>
    </row>
    <row r="53" spans="1:19" x14ac:dyDescent="0.2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32"/>
      <c r="Q53" s="33"/>
      <c r="R53" s="28" t="b">
        <f t="shared" si="0"/>
        <v>0</v>
      </c>
      <c r="S53" s="28" t="b">
        <f t="shared" si="1"/>
        <v>0</v>
      </c>
    </row>
    <row r="54" spans="1:19" x14ac:dyDescent="0.2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32"/>
      <c r="Q54" s="33"/>
      <c r="R54" s="28" t="b">
        <f t="shared" si="0"/>
        <v>0</v>
      </c>
      <c r="S54" s="28" t="b">
        <f t="shared" si="1"/>
        <v>0</v>
      </c>
    </row>
    <row r="55" spans="1:19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32"/>
      <c r="Q55" s="33"/>
      <c r="R55" s="28" t="b">
        <f t="shared" si="0"/>
        <v>0</v>
      </c>
      <c r="S55" s="28" t="b">
        <f t="shared" si="1"/>
        <v>0</v>
      </c>
    </row>
    <row r="56" spans="1:19" x14ac:dyDescent="0.2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32"/>
      <c r="Q56" s="33"/>
      <c r="R56" s="28" t="b">
        <f t="shared" si="0"/>
        <v>0</v>
      </c>
      <c r="S56" s="28" t="b">
        <f t="shared" si="1"/>
        <v>0</v>
      </c>
    </row>
    <row r="57" spans="1:19" x14ac:dyDescent="0.2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32"/>
      <c r="Q57" s="33"/>
      <c r="R57" s="28" t="b">
        <f t="shared" si="0"/>
        <v>0</v>
      </c>
      <c r="S57" s="28" t="b">
        <f t="shared" si="1"/>
        <v>0</v>
      </c>
    </row>
    <row r="58" spans="1:19" x14ac:dyDescent="0.2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32"/>
      <c r="Q58" s="33"/>
      <c r="R58" s="28" t="b">
        <f t="shared" si="0"/>
        <v>0</v>
      </c>
      <c r="S58" s="28" t="b">
        <f t="shared" si="1"/>
        <v>0</v>
      </c>
    </row>
    <row r="59" spans="1:19" x14ac:dyDescent="0.2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32"/>
      <c r="Q59" s="33"/>
      <c r="R59" s="28" t="b">
        <f t="shared" si="0"/>
        <v>0</v>
      </c>
      <c r="S59" s="28" t="b">
        <f t="shared" si="1"/>
        <v>0</v>
      </c>
    </row>
    <row r="60" spans="1:19" x14ac:dyDescent="0.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32"/>
      <c r="Q60" s="33"/>
      <c r="R60" s="28" t="b">
        <f t="shared" si="0"/>
        <v>0</v>
      </c>
      <c r="S60" s="28" t="b">
        <f t="shared" si="1"/>
        <v>0</v>
      </c>
    </row>
    <row r="61" spans="1:19" x14ac:dyDescent="0.2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32"/>
      <c r="Q61" s="33"/>
      <c r="R61" s="28" t="b">
        <f t="shared" si="0"/>
        <v>0</v>
      </c>
      <c r="S61" s="28" t="b">
        <f t="shared" si="1"/>
        <v>0</v>
      </c>
    </row>
    <row r="62" spans="1:19" x14ac:dyDescent="0.2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32"/>
      <c r="Q62" s="33"/>
      <c r="R62" s="28" t="b">
        <f t="shared" si="0"/>
        <v>0</v>
      </c>
      <c r="S62" s="28" t="b">
        <f t="shared" si="1"/>
        <v>0</v>
      </c>
    </row>
    <row r="63" spans="1:19" x14ac:dyDescent="0.2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32"/>
      <c r="Q63" s="33"/>
      <c r="R63" s="28" t="b">
        <f t="shared" si="0"/>
        <v>0</v>
      </c>
      <c r="S63" s="28" t="b">
        <f t="shared" si="1"/>
        <v>0</v>
      </c>
    </row>
    <row r="64" spans="1:19" x14ac:dyDescent="0.2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32"/>
      <c r="Q64" s="33"/>
      <c r="R64" s="28" t="b">
        <f t="shared" si="0"/>
        <v>0</v>
      </c>
      <c r="S64" s="28" t="b">
        <f t="shared" si="1"/>
        <v>0</v>
      </c>
    </row>
    <row r="65" spans="1:19" x14ac:dyDescent="0.2">
      <c r="A65" s="19"/>
      <c r="B65" s="19"/>
      <c r="C65" s="19"/>
      <c r="D65" s="19"/>
      <c r="E65" s="39"/>
      <c r="F65" s="39"/>
      <c r="G65" s="39"/>
      <c r="H65" s="39"/>
      <c r="I65" s="39"/>
      <c r="J65" s="39"/>
      <c r="K65" s="39"/>
      <c r="L65" s="40"/>
      <c r="M65" s="19"/>
      <c r="N65" s="19"/>
      <c r="O65" s="19"/>
      <c r="P65" s="32"/>
      <c r="Q65" s="33"/>
      <c r="R65" s="28" t="b">
        <f t="shared" si="0"/>
        <v>0</v>
      </c>
      <c r="S65" s="28" t="b">
        <f t="shared" si="1"/>
        <v>0</v>
      </c>
    </row>
    <row r="66" spans="1:19" x14ac:dyDescent="0.2">
      <c r="A66" s="19"/>
      <c r="B66" s="19"/>
      <c r="C66" s="19"/>
      <c r="D66" s="19"/>
      <c r="E66" s="39"/>
      <c r="F66" s="39"/>
      <c r="G66" s="39"/>
      <c r="H66" s="39"/>
      <c r="I66" s="39"/>
      <c r="J66" s="39"/>
      <c r="K66" s="39"/>
      <c r="L66" s="40"/>
      <c r="M66" s="19"/>
      <c r="N66" s="19"/>
      <c r="O66" s="19"/>
      <c r="P66" s="32"/>
      <c r="Q66" s="33"/>
      <c r="R66" s="28" t="b">
        <f t="shared" si="0"/>
        <v>0</v>
      </c>
      <c r="S66" s="28" t="b">
        <f t="shared" si="1"/>
        <v>0</v>
      </c>
    </row>
    <row r="67" spans="1:19" x14ac:dyDescent="0.2">
      <c r="A67" s="19"/>
      <c r="B67" s="19"/>
      <c r="C67" s="19"/>
      <c r="D67" s="19"/>
      <c r="E67" s="39"/>
      <c r="F67" s="39"/>
      <c r="G67" s="39"/>
      <c r="H67" s="39"/>
      <c r="I67" s="39"/>
      <c r="J67" s="39"/>
      <c r="K67" s="39"/>
      <c r="L67" s="40"/>
      <c r="M67" s="19"/>
      <c r="N67" s="19"/>
      <c r="O67" s="19"/>
      <c r="P67" s="32"/>
      <c r="Q67" s="33"/>
      <c r="R67" s="28" t="b">
        <f t="shared" si="0"/>
        <v>0</v>
      </c>
      <c r="S67" s="28" t="b">
        <f t="shared" si="1"/>
        <v>0</v>
      </c>
    </row>
    <row r="68" spans="1:19" x14ac:dyDescent="0.2">
      <c r="A68" s="19"/>
      <c r="B68" s="19"/>
      <c r="C68" s="19"/>
      <c r="D68" s="19"/>
      <c r="E68" s="39"/>
      <c r="F68" s="39"/>
      <c r="G68" s="39"/>
      <c r="H68" s="39"/>
      <c r="I68" s="39"/>
      <c r="J68" s="39"/>
      <c r="K68" s="39"/>
      <c r="L68" s="40"/>
      <c r="M68" s="19"/>
      <c r="N68" s="19"/>
      <c r="O68" s="19"/>
      <c r="P68" s="32"/>
      <c r="Q68" s="33"/>
      <c r="R68" s="28" t="b">
        <f t="shared" ref="R68:R131" si="2">IF($P68&gt;0,$B$17+$B$18*$P68)</f>
        <v>0</v>
      </c>
      <c r="S68" s="28" t="b">
        <f t="shared" ref="S68:S131" si="3">IF($P68&gt;0,$Q68-$R68)</f>
        <v>0</v>
      </c>
    </row>
    <row r="69" spans="1:19" x14ac:dyDescent="0.2">
      <c r="A69" s="19"/>
      <c r="B69" s="19"/>
      <c r="C69" s="19"/>
      <c r="D69" s="19"/>
      <c r="E69" s="39"/>
      <c r="F69" s="39"/>
      <c r="G69" s="39"/>
      <c r="H69" s="39"/>
      <c r="I69" s="39"/>
      <c r="J69" s="39"/>
      <c r="K69" s="39"/>
      <c r="L69" s="40"/>
      <c r="M69" s="19"/>
      <c r="N69" s="19"/>
      <c r="O69" s="19"/>
      <c r="P69" s="32"/>
      <c r="Q69" s="33"/>
      <c r="R69" s="28" t="b">
        <f t="shared" si="2"/>
        <v>0</v>
      </c>
      <c r="S69" s="28" t="b">
        <f t="shared" si="3"/>
        <v>0</v>
      </c>
    </row>
    <row r="70" spans="1:19" x14ac:dyDescent="0.2">
      <c r="A70" s="19"/>
      <c r="B70" s="19"/>
      <c r="C70" s="19"/>
      <c r="D70" s="19"/>
      <c r="E70" s="39"/>
      <c r="F70" s="39"/>
      <c r="G70" s="39"/>
      <c r="H70" s="39"/>
      <c r="I70" s="39"/>
      <c r="J70" s="39"/>
      <c r="K70" s="39"/>
      <c r="L70" s="40"/>
      <c r="M70" s="19"/>
      <c r="N70" s="19"/>
      <c r="O70" s="19"/>
      <c r="P70" s="32"/>
      <c r="Q70" s="33"/>
      <c r="R70" s="28" t="b">
        <f t="shared" si="2"/>
        <v>0</v>
      </c>
      <c r="S70" s="28" t="b">
        <f t="shared" si="3"/>
        <v>0</v>
      </c>
    </row>
    <row r="71" spans="1:19" x14ac:dyDescent="0.2">
      <c r="A71" s="19"/>
      <c r="B71" s="19"/>
      <c r="C71" s="19"/>
      <c r="D71" s="19"/>
      <c r="E71" s="39"/>
      <c r="F71" s="39"/>
      <c r="G71" s="39"/>
      <c r="H71" s="39"/>
      <c r="I71" s="39"/>
      <c r="J71" s="39"/>
      <c r="K71" s="39"/>
      <c r="L71" s="40"/>
      <c r="M71" s="19"/>
      <c r="N71" s="19"/>
      <c r="O71" s="19"/>
      <c r="P71" s="32"/>
      <c r="Q71" s="33"/>
      <c r="R71" s="28" t="b">
        <f t="shared" si="2"/>
        <v>0</v>
      </c>
      <c r="S71" s="28" t="b">
        <f t="shared" si="3"/>
        <v>0</v>
      </c>
    </row>
    <row r="72" spans="1:19" x14ac:dyDescent="0.2">
      <c r="A72" s="19"/>
      <c r="B72" s="19"/>
      <c r="C72" s="19"/>
      <c r="D72" s="19"/>
      <c r="E72" s="39"/>
      <c r="F72" s="39"/>
      <c r="G72" s="39"/>
      <c r="H72" s="39"/>
      <c r="I72" s="39"/>
      <c r="J72" s="39"/>
      <c r="K72" s="39"/>
      <c r="L72" s="40"/>
      <c r="M72" s="19"/>
      <c r="N72" s="19"/>
      <c r="O72" s="19"/>
      <c r="P72" s="32"/>
      <c r="Q72" s="33"/>
      <c r="R72" s="28" t="b">
        <f t="shared" si="2"/>
        <v>0</v>
      </c>
      <c r="S72" s="28" t="b">
        <f t="shared" si="3"/>
        <v>0</v>
      </c>
    </row>
    <row r="73" spans="1:19" x14ac:dyDescent="0.2">
      <c r="A73" s="19"/>
      <c r="B73" s="19"/>
      <c r="C73" s="19"/>
      <c r="D73" s="19"/>
      <c r="E73" s="39"/>
      <c r="F73" s="39"/>
      <c r="G73" s="39"/>
      <c r="H73" s="39"/>
      <c r="I73" s="39"/>
      <c r="J73" s="39"/>
      <c r="K73" s="39"/>
      <c r="L73" s="40"/>
      <c r="M73" s="19"/>
      <c r="N73" s="19"/>
      <c r="O73" s="19"/>
      <c r="P73" s="32"/>
      <c r="Q73" s="33"/>
      <c r="R73" s="28" t="b">
        <f t="shared" si="2"/>
        <v>0</v>
      </c>
      <c r="S73" s="28" t="b">
        <f t="shared" si="3"/>
        <v>0</v>
      </c>
    </row>
    <row r="74" spans="1:19" x14ac:dyDescent="0.2">
      <c r="A74" s="19"/>
      <c r="B74" s="19"/>
      <c r="C74" s="19"/>
      <c r="D74" s="19"/>
      <c r="E74" s="39"/>
      <c r="F74" s="39"/>
      <c r="G74" s="39"/>
      <c r="H74" s="39"/>
      <c r="I74" s="39"/>
      <c r="J74" s="39"/>
      <c r="K74" s="39"/>
      <c r="L74" s="40"/>
      <c r="M74" s="19"/>
      <c r="N74" s="19"/>
      <c r="O74" s="19"/>
      <c r="P74" s="32"/>
      <c r="Q74" s="33"/>
      <c r="R74" s="28" t="b">
        <f t="shared" si="2"/>
        <v>0</v>
      </c>
      <c r="S74" s="28" t="b">
        <f t="shared" si="3"/>
        <v>0</v>
      </c>
    </row>
    <row r="75" spans="1:19" x14ac:dyDescent="0.2">
      <c r="A75" s="19"/>
      <c r="B75" s="19"/>
      <c r="C75" s="19"/>
      <c r="D75" s="19"/>
      <c r="E75" s="39"/>
      <c r="F75" s="39"/>
      <c r="G75" s="39"/>
      <c r="H75" s="39"/>
      <c r="I75" s="39"/>
      <c r="J75" s="39"/>
      <c r="K75" s="39"/>
      <c r="L75" s="40"/>
      <c r="M75" s="19"/>
      <c r="N75" s="19"/>
      <c r="O75" s="19"/>
      <c r="P75" s="32"/>
      <c r="Q75" s="33"/>
      <c r="R75" s="28" t="b">
        <f t="shared" si="2"/>
        <v>0</v>
      </c>
      <c r="S75" s="28" t="b">
        <f t="shared" si="3"/>
        <v>0</v>
      </c>
    </row>
    <row r="76" spans="1:19" x14ac:dyDescent="0.2">
      <c r="A76" s="19"/>
      <c r="B76" s="19"/>
      <c r="C76" s="19"/>
      <c r="D76" s="19"/>
      <c r="E76" s="39"/>
      <c r="F76" s="39"/>
      <c r="G76" s="39"/>
      <c r="H76" s="39"/>
      <c r="I76" s="39"/>
      <c r="J76" s="39"/>
      <c r="K76" s="39"/>
      <c r="L76" s="40"/>
      <c r="M76" s="19"/>
      <c r="N76" s="19"/>
      <c r="O76" s="19"/>
      <c r="P76" s="32"/>
      <c r="Q76" s="33"/>
      <c r="R76" s="28" t="b">
        <f t="shared" si="2"/>
        <v>0</v>
      </c>
      <c r="S76" s="28" t="b">
        <f t="shared" si="3"/>
        <v>0</v>
      </c>
    </row>
    <row r="77" spans="1:19" x14ac:dyDescent="0.2">
      <c r="A77" s="19"/>
      <c r="B77" s="19"/>
      <c r="C77" s="19"/>
      <c r="D77" s="19"/>
      <c r="E77" s="45"/>
      <c r="F77" s="39"/>
      <c r="G77" s="39"/>
      <c r="H77" s="39"/>
      <c r="I77" s="19"/>
      <c r="J77" s="19"/>
      <c r="K77" s="41"/>
      <c r="L77" s="40"/>
      <c r="M77" s="19"/>
      <c r="N77" s="19"/>
      <c r="O77" s="19"/>
      <c r="P77" s="32"/>
      <c r="Q77" s="33"/>
      <c r="R77" s="28" t="b">
        <f t="shared" si="2"/>
        <v>0</v>
      </c>
      <c r="S77" s="28" t="b">
        <f t="shared" si="3"/>
        <v>0</v>
      </c>
    </row>
    <row r="78" spans="1:19" x14ac:dyDescent="0.2">
      <c r="A78" s="19"/>
      <c r="B78" s="19"/>
      <c r="C78" s="19"/>
      <c r="D78" s="19"/>
      <c r="E78" s="45"/>
      <c r="F78" s="39"/>
      <c r="G78" s="39"/>
      <c r="H78" s="39"/>
      <c r="I78" s="42"/>
      <c r="J78" s="43"/>
      <c r="K78" s="41"/>
      <c r="L78" s="40"/>
      <c r="M78" s="19"/>
      <c r="N78" s="19"/>
      <c r="O78" s="19"/>
      <c r="P78" s="32"/>
      <c r="Q78" s="33"/>
      <c r="R78" s="28" t="b">
        <f t="shared" si="2"/>
        <v>0</v>
      </c>
      <c r="S78" s="28" t="b">
        <f t="shared" si="3"/>
        <v>0</v>
      </c>
    </row>
    <row r="79" spans="1:19" x14ac:dyDescent="0.2">
      <c r="A79" s="19"/>
      <c r="B79" s="19"/>
      <c r="C79" s="19"/>
      <c r="D79" s="19"/>
      <c r="E79" s="45"/>
      <c r="F79" s="39"/>
      <c r="G79" s="39"/>
      <c r="H79" s="39"/>
      <c r="I79" s="42"/>
      <c r="J79" s="43"/>
      <c r="K79" s="41"/>
      <c r="L79" s="40"/>
      <c r="M79" s="19"/>
      <c r="N79" s="19"/>
      <c r="O79" s="19"/>
      <c r="P79" s="32"/>
      <c r="Q79" s="33"/>
      <c r="R79" s="28" t="b">
        <f t="shared" si="2"/>
        <v>0</v>
      </c>
      <c r="S79" s="28" t="b">
        <f t="shared" si="3"/>
        <v>0</v>
      </c>
    </row>
    <row r="80" spans="1:19" x14ac:dyDescent="0.2">
      <c r="A80" s="19"/>
      <c r="B80" s="19"/>
      <c r="C80" s="19"/>
      <c r="D80" s="19"/>
      <c r="E80" s="45"/>
      <c r="F80" s="39"/>
      <c r="G80" s="39"/>
      <c r="H80" s="39"/>
      <c r="I80" s="42"/>
      <c r="J80" s="43"/>
      <c r="K80" s="41"/>
      <c r="L80" s="40"/>
      <c r="M80" s="19"/>
      <c r="N80" s="19"/>
      <c r="O80" s="19"/>
      <c r="P80" s="32"/>
      <c r="Q80" s="33"/>
      <c r="R80" s="28" t="b">
        <f t="shared" si="2"/>
        <v>0</v>
      </c>
      <c r="S80" s="28" t="b">
        <f t="shared" si="3"/>
        <v>0</v>
      </c>
    </row>
    <row r="81" spans="1:19" x14ac:dyDescent="0.2">
      <c r="A81" s="19"/>
      <c r="B81" s="19"/>
      <c r="C81" s="19"/>
      <c r="D81" s="19"/>
      <c r="E81" s="46"/>
      <c r="F81" s="39"/>
      <c r="G81" s="39"/>
      <c r="H81" s="39"/>
      <c r="I81" s="43"/>
      <c r="J81" s="43"/>
      <c r="K81" s="26"/>
      <c r="L81" s="26"/>
      <c r="M81" s="19"/>
      <c r="N81" s="19"/>
      <c r="O81" s="19"/>
      <c r="P81" s="32"/>
      <c r="Q81" s="33"/>
      <c r="R81" s="28" t="b">
        <f t="shared" si="2"/>
        <v>0</v>
      </c>
      <c r="S81" s="28" t="b">
        <f t="shared" si="3"/>
        <v>0</v>
      </c>
    </row>
    <row r="82" spans="1:19" x14ac:dyDescent="0.2">
      <c r="A82" s="19"/>
      <c r="B82" s="19"/>
      <c r="C82" s="19"/>
      <c r="D82" s="19"/>
      <c r="E82" s="26"/>
      <c r="F82" s="39"/>
      <c r="G82" s="39"/>
      <c r="H82" s="39"/>
      <c r="I82" s="26"/>
      <c r="J82" s="26"/>
      <c r="K82" s="26"/>
      <c r="L82" s="26"/>
      <c r="M82" s="19"/>
      <c r="N82" s="19"/>
      <c r="O82" s="19"/>
      <c r="P82" s="32"/>
      <c r="Q82" s="33"/>
      <c r="R82" s="28" t="b">
        <f t="shared" si="2"/>
        <v>0</v>
      </c>
      <c r="S82" s="28" t="b">
        <f t="shared" si="3"/>
        <v>0</v>
      </c>
    </row>
    <row r="83" spans="1:19" x14ac:dyDescent="0.2">
      <c r="A83" s="19"/>
      <c r="B83" s="19"/>
      <c r="C83" s="19"/>
      <c r="D83" s="19"/>
      <c r="E83" s="26"/>
      <c r="F83" s="39"/>
      <c r="G83" s="39"/>
      <c r="H83" s="39"/>
      <c r="I83" s="26"/>
      <c r="J83" s="26"/>
      <c r="K83" s="26"/>
      <c r="L83" s="26"/>
      <c r="M83" s="19"/>
      <c r="N83" s="19"/>
      <c r="O83" s="19"/>
      <c r="P83" s="32"/>
      <c r="Q83" s="33"/>
      <c r="R83" s="28" t="b">
        <f t="shared" si="2"/>
        <v>0</v>
      </c>
      <c r="S83" s="28" t="b">
        <f t="shared" si="3"/>
        <v>0</v>
      </c>
    </row>
    <row r="84" spans="1:19" x14ac:dyDescent="0.2">
      <c r="A84" s="19"/>
      <c r="B84" s="19"/>
      <c r="C84" s="19"/>
      <c r="D84" s="19"/>
      <c r="E84" s="19"/>
      <c r="F84" s="39"/>
      <c r="G84" s="39"/>
      <c r="H84" s="39"/>
      <c r="I84" s="19"/>
      <c r="J84" s="19"/>
      <c r="K84" s="19"/>
      <c r="L84" s="19"/>
      <c r="M84" s="19"/>
      <c r="N84" s="19"/>
      <c r="O84" s="19"/>
      <c r="P84" s="32"/>
      <c r="Q84" s="33"/>
      <c r="R84" s="28" t="b">
        <f t="shared" si="2"/>
        <v>0</v>
      </c>
      <c r="S84" s="28" t="b">
        <f t="shared" si="3"/>
        <v>0</v>
      </c>
    </row>
    <row r="85" spans="1:19" x14ac:dyDescent="0.2">
      <c r="A85" s="19"/>
      <c r="B85" s="19"/>
      <c r="C85" s="19"/>
      <c r="D85" s="19"/>
      <c r="E85" s="19"/>
      <c r="F85" s="39"/>
      <c r="G85" s="39"/>
      <c r="H85" s="39"/>
      <c r="I85" s="19"/>
      <c r="J85" s="19"/>
      <c r="K85" s="19"/>
      <c r="L85" s="19"/>
      <c r="M85" s="19"/>
      <c r="N85" s="19"/>
      <c r="O85" s="19"/>
      <c r="P85" s="32"/>
      <c r="Q85" s="33"/>
      <c r="R85" s="28" t="b">
        <f t="shared" si="2"/>
        <v>0</v>
      </c>
      <c r="S85" s="28" t="b">
        <f t="shared" si="3"/>
        <v>0</v>
      </c>
    </row>
    <row r="86" spans="1:19" x14ac:dyDescent="0.2">
      <c r="A86" s="19"/>
      <c r="B86" s="19"/>
      <c r="C86" s="19"/>
      <c r="D86" s="19"/>
      <c r="E86" s="19"/>
      <c r="F86" s="39"/>
      <c r="G86" s="39"/>
      <c r="H86" s="39"/>
      <c r="I86" s="19"/>
      <c r="J86" s="19"/>
      <c r="K86" s="19"/>
      <c r="L86" s="19"/>
      <c r="M86" s="19"/>
      <c r="N86" s="19"/>
      <c r="O86" s="19"/>
      <c r="P86" s="32"/>
      <c r="Q86" s="33"/>
      <c r="R86" s="28" t="b">
        <f t="shared" si="2"/>
        <v>0</v>
      </c>
      <c r="S86" s="28" t="b">
        <f t="shared" si="3"/>
        <v>0</v>
      </c>
    </row>
    <row r="87" spans="1:19" x14ac:dyDescent="0.2">
      <c r="A87" s="19"/>
      <c r="B87" s="19"/>
      <c r="C87" s="19"/>
      <c r="D87" s="19"/>
      <c r="E87" s="19"/>
      <c r="F87" s="39"/>
      <c r="G87" s="39"/>
      <c r="H87" s="39"/>
      <c r="I87" s="19"/>
      <c r="J87" s="19"/>
      <c r="K87" s="19"/>
      <c r="L87" s="19"/>
      <c r="M87" s="19"/>
      <c r="N87" s="19"/>
      <c r="O87" s="19"/>
      <c r="P87" s="32"/>
      <c r="Q87" s="33"/>
      <c r="R87" s="28" t="b">
        <f t="shared" si="2"/>
        <v>0</v>
      </c>
      <c r="S87" s="28" t="b">
        <f t="shared" si="3"/>
        <v>0</v>
      </c>
    </row>
    <row r="88" spans="1:19" x14ac:dyDescent="0.2">
      <c r="A88" s="19"/>
      <c r="B88" s="19"/>
      <c r="C88" s="19"/>
      <c r="D88" s="19"/>
      <c r="E88" s="19"/>
      <c r="F88" s="39"/>
      <c r="G88" s="39"/>
      <c r="H88" s="39"/>
      <c r="I88" s="19"/>
      <c r="J88" s="19"/>
      <c r="K88" s="19"/>
      <c r="L88" s="19"/>
      <c r="M88" s="19"/>
      <c r="N88" s="19"/>
      <c r="O88" s="19"/>
      <c r="P88" s="32"/>
      <c r="Q88" s="33"/>
      <c r="R88" s="28" t="b">
        <f t="shared" si="2"/>
        <v>0</v>
      </c>
      <c r="S88" s="28" t="b">
        <f t="shared" si="3"/>
        <v>0</v>
      </c>
    </row>
    <row r="89" spans="1:19" x14ac:dyDescent="0.2">
      <c r="A89" s="19"/>
      <c r="B89" s="19"/>
      <c r="C89" s="19"/>
      <c r="D89" s="19"/>
      <c r="E89" s="19"/>
      <c r="F89" s="39"/>
      <c r="G89" s="39"/>
      <c r="H89" s="39"/>
      <c r="I89" s="19"/>
      <c r="J89" s="19"/>
      <c r="K89" s="19"/>
      <c r="L89" s="19"/>
      <c r="M89" s="19"/>
      <c r="N89" s="19"/>
      <c r="O89" s="19"/>
      <c r="P89" s="32"/>
      <c r="Q89" s="33"/>
      <c r="R89" s="28" t="b">
        <f t="shared" si="2"/>
        <v>0</v>
      </c>
      <c r="S89" s="28" t="b">
        <f t="shared" si="3"/>
        <v>0</v>
      </c>
    </row>
    <row r="90" spans="1:19" x14ac:dyDescent="0.2">
      <c r="A90" s="19"/>
      <c r="B90" s="19"/>
      <c r="C90" s="19"/>
      <c r="D90" s="19"/>
      <c r="E90" s="19"/>
      <c r="F90" s="39"/>
      <c r="G90" s="39"/>
      <c r="H90" s="39"/>
      <c r="I90" s="19"/>
      <c r="J90" s="19"/>
      <c r="K90" s="19"/>
      <c r="L90" s="19"/>
      <c r="M90" s="19"/>
      <c r="N90" s="19"/>
      <c r="O90" s="19"/>
      <c r="P90" s="32"/>
      <c r="Q90" s="33"/>
      <c r="R90" s="28" t="b">
        <f t="shared" si="2"/>
        <v>0</v>
      </c>
      <c r="S90" s="28" t="b">
        <f t="shared" si="3"/>
        <v>0</v>
      </c>
    </row>
    <row r="91" spans="1:19" x14ac:dyDescent="0.2">
      <c r="A91" s="19"/>
      <c r="B91" s="19"/>
      <c r="C91" s="19"/>
      <c r="D91" s="19"/>
      <c r="E91" s="19"/>
      <c r="F91" s="39"/>
      <c r="G91" s="39"/>
      <c r="H91" s="39"/>
      <c r="I91" s="19"/>
      <c r="J91" s="19"/>
      <c r="K91" s="19"/>
      <c r="L91" s="19"/>
      <c r="M91" s="19"/>
      <c r="N91" s="19"/>
      <c r="O91" s="19"/>
      <c r="P91" s="32"/>
      <c r="Q91" s="33"/>
      <c r="R91" s="28" t="b">
        <f t="shared" si="2"/>
        <v>0</v>
      </c>
      <c r="S91" s="28" t="b">
        <f t="shared" si="3"/>
        <v>0</v>
      </c>
    </row>
    <row r="92" spans="1:19" x14ac:dyDescent="0.2">
      <c r="A92" s="19"/>
      <c r="B92" s="19"/>
      <c r="C92" s="19"/>
      <c r="D92" s="19"/>
      <c r="E92" s="19"/>
      <c r="F92" s="39"/>
      <c r="G92" s="39"/>
      <c r="H92" s="39"/>
      <c r="I92" s="19"/>
      <c r="J92" s="19"/>
      <c r="K92" s="19"/>
      <c r="L92" s="19"/>
      <c r="M92" s="19"/>
      <c r="N92" s="19"/>
      <c r="O92" s="19"/>
      <c r="P92" s="32"/>
      <c r="Q92" s="33"/>
      <c r="R92" s="28" t="b">
        <f t="shared" si="2"/>
        <v>0</v>
      </c>
      <c r="S92" s="28" t="b">
        <f t="shared" si="3"/>
        <v>0</v>
      </c>
    </row>
    <row r="93" spans="1:19" x14ac:dyDescent="0.2">
      <c r="A93" s="19"/>
      <c r="B93" s="19"/>
      <c r="C93" s="19"/>
      <c r="D93" s="19"/>
      <c r="E93" s="19"/>
      <c r="F93" s="39"/>
      <c r="G93" s="39"/>
      <c r="H93" s="39"/>
      <c r="I93" s="19"/>
      <c r="J93" s="19"/>
      <c r="K93" s="19"/>
      <c r="L93" s="19"/>
      <c r="M93" s="19"/>
      <c r="N93" s="19"/>
      <c r="O93" s="19"/>
      <c r="P93" s="32"/>
      <c r="Q93" s="33"/>
      <c r="R93" s="28" t="b">
        <f t="shared" si="2"/>
        <v>0</v>
      </c>
      <c r="S93" s="28" t="b">
        <f t="shared" si="3"/>
        <v>0</v>
      </c>
    </row>
    <row r="94" spans="1:19" x14ac:dyDescent="0.2">
      <c r="A94" s="19"/>
      <c r="B94" s="19"/>
      <c r="C94" s="19"/>
      <c r="D94" s="19"/>
      <c r="E94" s="19"/>
      <c r="F94" s="39"/>
      <c r="G94" s="39"/>
      <c r="H94" s="39"/>
      <c r="I94" s="44"/>
      <c r="J94" s="44"/>
      <c r="K94" s="19"/>
      <c r="L94" s="19"/>
      <c r="M94" s="19"/>
      <c r="N94" s="19"/>
      <c r="O94" s="19"/>
      <c r="P94" s="32"/>
      <c r="Q94" s="33"/>
      <c r="R94" s="28" t="b">
        <f t="shared" si="2"/>
        <v>0</v>
      </c>
      <c r="S94" s="28" t="b">
        <f t="shared" si="3"/>
        <v>0</v>
      </c>
    </row>
    <row r="95" spans="1:19" x14ac:dyDescent="0.2">
      <c r="A95" s="19"/>
      <c r="B95" s="19"/>
      <c r="C95" s="19"/>
      <c r="D95" s="19"/>
      <c r="E95" s="19"/>
      <c r="F95" s="39"/>
      <c r="G95" s="39"/>
      <c r="H95" s="39"/>
      <c r="I95" s="19"/>
      <c r="J95" s="19"/>
      <c r="K95" s="19"/>
      <c r="L95" s="19"/>
      <c r="M95" s="19"/>
      <c r="N95" s="19"/>
      <c r="O95" s="19"/>
      <c r="P95" s="32"/>
      <c r="Q95" s="33"/>
      <c r="R95" s="28" t="b">
        <f t="shared" si="2"/>
        <v>0</v>
      </c>
      <c r="S95" s="28" t="b">
        <f t="shared" si="3"/>
        <v>0</v>
      </c>
    </row>
    <row r="96" spans="1:19" x14ac:dyDescent="0.2">
      <c r="A96" s="19"/>
      <c r="B96" s="19"/>
      <c r="C96" s="19"/>
      <c r="D96" s="19"/>
      <c r="E96" s="19"/>
      <c r="F96" s="39"/>
      <c r="G96" s="39"/>
      <c r="H96" s="39"/>
      <c r="I96" s="19"/>
      <c r="J96" s="19"/>
      <c r="K96" s="19"/>
      <c r="L96" s="19"/>
      <c r="M96" s="19"/>
      <c r="N96" s="19"/>
      <c r="O96" s="19"/>
      <c r="P96" s="32"/>
      <c r="Q96" s="33"/>
      <c r="R96" s="28" t="b">
        <f t="shared" si="2"/>
        <v>0</v>
      </c>
      <c r="S96" s="28" t="b">
        <f t="shared" si="3"/>
        <v>0</v>
      </c>
    </row>
    <row r="97" spans="1:19" x14ac:dyDescent="0.2">
      <c r="A97" s="19"/>
      <c r="B97" s="19"/>
      <c r="C97" s="19"/>
      <c r="D97" s="19"/>
      <c r="E97" s="19"/>
      <c r="F97" s="39"/>
      <c r="G97" s="39"/>
      <c r="H97" s="39"/>
      <c r="I97" s="19"/>
      <c r="J97" s="19"/>
      <c r="K97" s="19"/>
      <c r="L97" s="19"/>
      <c r="M97" s="19"/>
      <c r="N97" s="19"/>
      <c r="O97" s="19"/>
      <c r="P97" s="32"/>
      <c r="Q97" s="33"/>
      <c r="R97" s="28" t="b">
        <f t="shared" si="2"/>
        <v>0</v>
      </c>
      <c r="S97" s="28" t="b">
        <f t="shared" si="3"/>
        <v>0</v>
      </c>
    </row>
    <row r="98" spans="1:19" x14ac:dyDescent="0.2">
      <c r="A98" s="19"/>
      <c r="B98" s="19"/>
      <c r="C98" s="19"/>
      <c r="D98" s="19"/>
      <c r="E98" s="19"/>
      <c r="F98" s="39"/>
      <c r="G98" s="39"/>
      <c r="H98" s="39"/>
      <c r="I98" s="19"/>
      <c r="J98" s="19"/>
      <c r="K98" s="19"/>
      <c r="L98" s="19"/>
      <c r="M98" s="19"/>
      <c r="N98" s="19"/>
      <c r="O98" s="19"/>
      <c r="P98" s="32"/>
      <c r="Q98" s="33"/>
      <c r="R98" s="28" t="b">
        <f t="shared" si="2"/>
        <v>0</v>
      </c>
      <c r="S98" s="28" t="b">
        <f t="shared" si="3"/>
        <v>0</v>
      </c>
    </row>
    <row r="99" spans="1:19" x14ac:dyDescent="0.2">
      <c r="A99" s="19"/>
      <c r="B99" s="19"/>
      <c r="C99" s="19"/>
      <c r="D99" s="19"/>
      <c r="E99" s="19"/>
      <c r="F99" s="39"/>
      <c r="G99" s="39"/>
      <c r="H99" s="39"/>
      <c r="I99" s="19"/>
      <c r="J99" s="19"/>
      <c r="K99" s="19"/>
      <c r="L99" s="19"/>
      <c r="M99" s="19"/>
      <c r="N99" s="19"/>
      <c r="O99" s="19"/>
      <c r="P99" s="32"/>
      <c r="Q99" s="33"/>
      <c r="R99" s="28" t="b">
        <f t="shared" si="2"/>
        <v>0</v>
      </c>
      <c r="S99" s="28" t="b">
        <f t="shared" si="3"/>
        <v>0</v>
      </c>
    </row>
    <row r="100" spans="1:19" x14ac:dyDescent="0.2">
      <c r="B100" s="5" t="s">
        <v>55</v>
      </c>
      <c r="H100" s="15"/>
      <c r="I100" s="19"/>
      <c r="J100" s="19"/>
      <c r="K100" s="19"/>
      <c r="L100" s="19"/>
      <c r="M100" s="19"/>
      <c r="N100" s="19"/>
      <c r="O100" s="19"/>
      <c r="P100" s="32"/>
      <c r="Q100" s="33"/>
      <c r="R100" s="28" t="b">
        <f t="shared" si="2"/>
        <v>0</v>
      </c>
      <c r="S100" s="28" t="b">
        <f t="shared" si="3"/>
        <v>0</v>
      </c>
    </row>
    <row r="101" spans="1:19" x14ac:dyDescent="0.2">
      <c r="A101" s="123"/>
      <c r="B101" s="88"/>
      <c r="C101" s="66" t="s">
        <v>56</v>
      </c>
      <c r="D101" s="66" t="s">
        <v>28</v>
      </c>
      <c r="E101" s="66" t="s">
        <v>64</v>
      </c>
      <c r="F101" s="66" t="s">
        <v>62</v>
      </c>
      <c r="G101" s="66" t="s">
        <v>66</v>
      </c>
      <c r="H101" s="15"/>
      <c r="I101" s="19"/>
      <c r="J101" s="19"/>
      <c r="K101" s="19"/>
      <c r="L101" s="19"/>
      <c r="M101" s="19"/>
      <c r="N101" s="19"/>
      <c r="O101" s="19"/>
      <c r="P101" s="32"/>
      <c r="Q101" s="33"/>
      <c r="R101" s="28" t="b">
        <f t="shared" si="2"/>
        <v>0</v>
      </c>
      <c r="S101" s="28" t="b">
        <f t="shared" si="3"/>
        <v>0</v>
      </c>
    </row>
    <row r="102" spans="1:19" x14ac:dyDescent="0.2">
      <c r="A102" s="67">
        <v>1</v>
      </c>
      <c r="B102" s="67">
        <f>A102+$B$32</f>
        <v>601</v>
      </c>
      <c r="C102" s="81">
        <f>MAX($B$17+$A$102*$B$18+$B$28+0.5*$B$6,$B$6)</f>
        <v>168.83164846912825</v>
      </c>
      <c r="D102" s="81">
        <f>$B$17+$A$102*$B$18+$B$27</f>
        <v>167.02438817628132</v>
      </c>
      <c r="E102" s="81">
        <f>MAX($B$17+$B$18*($B$35-$B$32)+$B$28+0.5*$B$6,$B$6)</f>
        <v>15.012847394711404</v>
      </c>
      <c r="F102" s="124">
        <f>MAX($P$3:$P$252)</f>
        <v>36811</v>
      </c>
      <c r="G102" s="125">
        <f>MAX($B$17+$F$102*$B$18+$B$28+0.5*$B$6,$B$6)</f>
        <v>14.366620436902029</v>
      </c>
      <c r="H102" s="15"/>
      <c r="I102" s="19"/>
      <c r="J102" s="19"/>
      <c r="K102" s="19"/>
      <c r="L102" s="19"/>
      <c r="M102" s="19"/>
      <c r="N102" s="19"/>
      <c r="O102" s="19"/>
      <c r="P102" s="32"/>
      <c r="Q102" s="33"/>
      <c r="R102" s="28" t="b">
        <f t="shared" si="2"/>
        <v>0</v>
      </c>
      <c r="S102" s="28" t="b">
        <f t="shared" si="3"/>
        <v>0</v>
      </c>
    </row>
    <row r="103" spans="1:19" x14ac:dyDescent="0.2">
      <c r="A103" s="126">
        <f>(0.5*$B$6-$B$28-$B$17)/$B$18</f>
        <v>40055.927377204061</v>
      </c>
      <c r="B103" s="126">
        <f>$A103+$B$32</f>
        <v>40655.927377204061</v>
      </c>
      <c r="C103" s="81">
        <f>$B$6</f>
        <v>0.75</v>
      </c>
      <c r="D103" s="81">
        <f>$B$17+$A$103*$B$18+$B$27</f>
        <v>-1.0572602928469346</v>
      </c>
      <c r="E103" s="81">
        <f>MAX($B$17+$B$18*($C$35-$B$32)+$B$28+0.5*$B$6,$B$6)</f>
        <v>8.2526420113939345</v>
      </c>
      <c r="F103" s="126">
        <f>$A$104</f>
        <v>44196</v>
      </c>
      <c r="G103" s="125">
        <f>$G$102</f>
        <v>14.366620436902029</v>
      </c>
      <c r="H103" s="15"/>
      <c r="I103" s="19"/>
      <c r="J103" s="19"/>
      <c r="K103" s="19"/>
      <c r="L103" s="19"/>
      <c r="M103" s="19"/>
      <c r="N103" s="19"/>
      <c r="O103" s="19"/>
      <c r="P103" s="32"/>
      <c r="Q103" s="33"/>
      <c r="R103" s="28" t="b">
        <f t="shared" si="2"/>
        <v>0</v>
      </c>
      <c r="S103" s="28" t="b">
        <f t="shared" si="3"/>
        <v>0</v>
      </c>
    </row>
    <row r="104" spans="1:19" x14ac:dyDescent="0.2">
      <c r="A104" s="67">
        <v>44196</v>
      </c>
      <c r="B104" s="67">
        <f>$A104+$B$32</f>
        <v>44796</v>
      </c>
      <c r="C104" s="125">
        <f>MAX($B$17+$A$104*$B$18+$B$28+0.5*$B$6,$B$6)</f>
        <v>0.75</v>
      </c>
      <c r="D104" s="125">
        <f>$B$17+$A$104*$B$18+$B$27</f>
        <v>-18.430159878166876</v>
      </c>
      <c r="E104" s="88"/>
      <c r="F104" s="88"/>
      <c r="G104" s="127"/>
      <c r="H104" s="15"/>
      <c r="I104" s="19"/>
      <c r="J104" s="19"/>
      <c r="K104" s="19"/>
      <c r="L104" s="19"/>
      <c r="M104" s="19"/>
      <c r="N104" s="19"/>
      <c r="O104" s="19"/>
      <c r="P104" s="32"/>
      <c r="Q104" s="33"/>
      <c r="R104" s="28" t="b">
        <f t="shared" si="2"/>
        <v>0</v>
      </c>
      <c r="S104" s="28" t="b">
        <f t="shared" si="3"/>
        <v>0</v>
      </c>
    </row>
    <row r="105" spans="1:19" x14ac:dyDescent="0.2">
      <c r="A105" s="126">
        <f>$B$35</f>
        <v>37257</v>
      </c>
      <c r="B105" s="126">
        <f>$C$35</f>
        <v>38868</v>
      </c>
      <c r="C105" s="128">
        <v>0</v>
      </c>
      <c r="D105" s="129"/>
      <c r="E105" s="66" t="s">
        <v>65</v>
      </c>
      <c r="F105" s="88"/>
      <c r="G105" s="127"/>
      <c r="H105" s="15"/>
      <c r="I105" s="19"/>
      <c r="J105" s="19"/>
      <c r="K105" s="19"/>
      <c r="L105" s="19"/>
      <c r="M105" s="19"/>
      <c r="N105" s="19"/>
      <c r="O105" s="19"/>
      <c r="P105" s="32"/>
      <c r="Q105" s="33"/>
      <c r="R105" s="28" t="b">
        <f t="shared" si="2"/>
        <v>0</v>
      </c>
      <c r="S105" s="28" t="b">
        <f t="shared" si="3"/>
        <v>0</v>
      </c>
    </row>
    <row r="106" spans="1:19" x14ac:dyDescent="0.2">
      <c r="A106" s="126">
        <f>$B$35</f>
        <v>37257</v>
      </c>
      <c r="B106" s="126">
        <f>$C$35</f>
        <v>38868</v>
      </c>
      <c r="C106" s="128">
        <v>100000</v>
      </c>
      <c r="D106" s="129"/>
      <c r="E106" s="125">
        <f>$B$41</f>
        <v>15.012847394711404</v>
      </c>
      <c r="F106" s="129"/>
      <c r="G106" s="127"/>
      <c r="H106" s="15"/>
      <c r="I106" s="19"/>
      <c r="J106" s="19"/>
      <c r="K106" s="19"/>
      <c r="L106" s="19"/>
      <c r="M106" s="19"/>
      <c r="N106" s="19"/>
      <c r="O106" s="19"/>
      <c r="P106" s="32"/>
      <c r="Q106" s="33"/>
      <c r="R106" s="28" t="b">
        <f t="shared" si="2"/>
        <v>0</v>
      </c>
      <c r="S106" s="28" t="b">
        <f t="shared" si="3"/>
        <v>0</v>
      </c>
    </row>
    <row r="107" spans="1:19" x14ac:dyDescent="0.2">
      <c r="A107" s="129"/>
      <c r="B107" s="88"/>
      <c r="C107" s="88"/>
      <c r="D107" s="129"/>
      <c r="E107" s="125">
        <f>$B$41</f>
        <v>15.012847394711404</v>
      </c>
      <c r="F107" s="129"/>
      <c r="G107" s="127"/>
      <c r="H107" s="15"/>
      <c r="I107" s="19"/>
      <c r="J107" s="19"/>
      <c r="K107" s="19"/>
      <c r="L107" s="19"/>
      <c r="M107" s="19"/>
      <c r="N107" s="19"/>
      <c r="O107" s="19"/>
      <c r="P107" s="32"/>
      <c r="Q107" s="33"/>
      <c r="R107" s="28" t="b">
        <f t="shared" si="2"/>
        <v>0</v>
      </c>
      <c r="S107" s="28" t="b">
        <f t="shared" si="3"/>
        <v>0</v>
      </c>
    </row>
    <row r="108" spans="1:19" x14ac:dyDescent="0.2">
      <c r="A108" s="88"/>
      <c r="B108" s="88"/>
      <c r="C108" s="88"/>
      <c r="D108" s="88"/>
      <c r="E108" s="88"/>
      <c r="F108" s="129"/>
      <c r="G108" s="127"/>
      <c r="H108" s="15"/>
      <c r="I108" s="19"/>
      <c r="J108" s="19"/>
      <c r="K108" s="19"/>
      <c r="L108" s="19"/>
      <c r="M108" s="19"/>
      <c r="N108" s="19"/>
      <c r="O108" s="19"/>
      <c r="P108" s="32"/>
      <c r="Q108" s="33"/>
      <c r="R108" s="28" t="b">
        <f t="shared" si="2"/>
        <v>0</v>
      </c>
      <c r="S108" s="28" t="b">
        <f t="shared" si="3"/>
        <v>0</v>
      </c>
    </row>
    <row r="109" spans="1:19" x14ac:dyDescent="0.2">
      <c r="A109" s="88"/>
      <c r="B109" s="88"/>
      <c r="C109" s="88"/>
      <c r="D109" s="88"/>
      <c r="E109" s="88"/>
      <c r="F109" s="129"/>
      <c r="G109" s="127"/>
      <c r="H109" s="15"/>
      <c r="I109" s="19"/>
      <c r="J109" s="19"/>
      <c r="K109" s="19"/>
      <c r="L109" s="19"/>
      <c r="M109" s="19"/>
      <c r="N109" s="19"/>
      <c r="O109" s="19"/>
      <c r="P109" s="32"/>
      <c r="Q109" s="33"/>
      <c r="R109" s="28" t="b">
        <f t="shared" si="2"/>
        <v>0</v>
      </c>
      <c r="S109" s="28" t="b">
        <f t="shared" si="3"/>
        <v>0</v>
      </c>
    </row>
    <row r="110" spans="1:19" x14ac:dyDescent="0.2">
      <c r="A110" s="88"/>
      <c r="B110" s="88"/>
      <c r="C110" s="88"/>
      <c r="D110" s="88"/>
      <c r="E110" s="88"/>
      <c r="F110" s="129"/>
      <c r="G110" s="127"/>
      <c r="H110" s="15"/>
      <c r="I110" s="19"/>
      <c r="J110" s="19"/>
      <c r="K110" s="19"/>
      <c r="L110" s="19"/>
      <c r="M110" s="19"/>
      <c r="N110" s="19"/>
      <c r="O110" s="19"/>
      <c r="P110" s="32"/>
      <c r="Q110" s="33"/>
      <c r="R110" s="28" t="b">
        <f t="shared" si="2"/>
        <v>0</v>
      </c>
      <c r="S110" s="28" t="b">
        <f t="shared" si="3"/>
        <v>0</v>
      </c>
    </row>
    <row r="111" spans="1:19" x14ac:dyDescent="0.2">
      <c r="A111" s="88"/>
      <c r="B111" s="88"/>
      <c r="C111" s="66" t="s">
        <v>50</v>
      </c>
      <c r="D111" s="76">
        <f>IF($B$9&gt;3,INDEX(XX!$C$4:'XX'!$C$150,$B$9))</f>
        <v>0.30809999999999998</v>
      </c>
      <c r="E111" s="76">
        <f>IF($B$9&gt;3,INDEX(XX!$D$4:'XX'!$D$150,$B$9))</f>
        <v>0.39779999999999999</v>
      </c>
      <c r="F111" s="129"/>
      <c r="G111" s="127"/>
      <c r="H111" s="15"/>
      <c r="I111" s="19"/>
      <c r="J111" s="19"/>
      <c r="K111" s="19"/>
      <c r="L111" s="19"/>
      <c r="M111" s="19"/>
      <c r="N111" s="19"/>
      <c r="O111" s="19"/>
      <c r="P111" s="32"/>
      <c r="Q111" s="33"/>
      <c r="R111" s="28" t="b">
        <f t="shared" si="2"/>
        <v>0</v>
      </c>
      <c r="S111" s="28" t="b">
        <f t="shared" si="3"/>
        <v>0</v>
      </c>
    </row>
    <row r="112" spans="1:19" x14ac:dyDescent="0.2">
      <c r="A112" s="88"/>
      <c r="B112" s="88"/>
      <c r="C112" s="66" t="s">
        <v>51</v>
      </c>
      <c r="D112" s="130" t="s">
        <v>52</v>
      </c>
      <c r="E112" s="130" t="s">
        <v>53</v>
      </c>
      <c r="F112" s="129"/>
      <c r="G112" s="127"/>
      <c r="H112" s="15"/>
      <c r="I112" s="19"/>
      <c r="J112" s="19"/>
      <c r="K112" s="19"/>
      <c r="L112" s="19"/>
      <c r="M112" s="19"/>
      <c r="N112" s="19"/>
      <c r="O112" s="19"/>
      <c r="P112" s="32"/>
      <c r="Q112" s="33"/>
      <c r="R112" s="28" t="b">
        <f t="shared" si="2"/>
        <v>0</v>
      </c>
      <c r="S112" s="28" t="b">
        <f t="shared" si="3"/>
        <v>0</v>
      </c>
    </row>
    <row r="113" spans="1:19" x14ac:dyDescent="0.2">
      <c r="A113" s="66" t="s">
        <v>40</v>
      </c>
      <c r="B113" s="89">
        <f>MIN($A$50:$A$199)</f>
        <v>1</v>
      </c>
      <c r="C113" s="88"/>
      <c r="D113" s="76">
        <f>IF((ABS($B$16)&gt;$I$58)*AND(ABS($B$16)&lt;$J$58),#REF!+#REF!*B113,0)</f>
        <v>0</v>
      </c>
      <c r="E113" s="76">
        <f>IF((ABS($B$16)&gt;$J$58),$B$17+$B$18*$B113,0)</f>
        <v>161.26286772971747</v>
      </c>
      <c r="F113" s="129"/>
      <c r="G113" s="127"/>
      <c r="H113" s="15"/>
      <c r="I113" s="19"/>
      <c r="J113" s="19"/>
      <c r="K113" s="19"/>
      <c r="L113" s="19"/>
      <c r="M113" s="19"/>
      <c r="N113" s="19"/>
      <c r="O113" s="19"/>
      <c r="P113" s="32"/>
      <c r="Q113" s="33"/>
      <c r="R113" s="28" t="b">
        <f t="shared" si="2"/>
        <v>0</v>
      </c>
      <c r="S113" s="28" t="b">
        <f t="shared" si="3"/>
        <v>0</v>
      </c>
    </row>
    <row r="114" spans="1:19" x14ac:dyDescent="0.2">
      <c r="A114" s="66" t="s">
        <v>41</v>
      </c>
      <c r="B114" s="89">
        <f>MAX($P$3:$P$252)</f>
        <v>36811</v>
      </c>
      <c r="C114" s="88"/>
      <c r="D114" s="76">
        <f>IF((ABS($B$16)&gt;$I$58)*AND(ABS($B$16)&lt;$J$58),#REF!+#REF!*B114,0)</f>
        <v>0</v>
      </c>
      <c r="E114" s="76">
        <f>IF((ABS($B$16)&gt;$E$111),$B$17+$B$18*$B114,0)</f>
        <v>6.7978396974912414</v>
      </c>
      <c r="F114" s="129"/>
      <c r="G114" s="127"/>
      <c r="H114" s="15"/>
      <c r="I114" s="19"/>
      <c r="J114" s="19"/>
      <c r="K114" s="19"/>
      <c r="L114" s="19"/>
      <c r="M114" s="19"/>
      <c r="N114" s="19"/>
      <c r="O114" s="19"/>
      <c r="P114" s="32"/>
      <c r="Q114" s="33"/>
      <c r="R114" s="28" t="b">
        <f t="shared" si="2"/>
        <v>0</v>
      </c>
      <c r="S114" s="28" t="b">
        <f t="shared" si="3"/>
        <v>0</v>
      </c>
    </row>
    <row r="115" spans="1:19" x14ac:dyDescent="0.2">
      <c r="F115" s="15"/>
      <c r="G115" s="15"/>
      <c r="H115" s="15"/>
      <c r="I115" s="19"/>
      <c r="J115" s="19"/>
      <c r="K115" s="19"/>
      <c r="L115" s="19"/>
      <c r="M115" s="19"/>
      <c r="N115" s="19"/>
      <c r="O115" s="19"/>
      <c r="P115" s="32"/>
      <c r="Q115" s="33"/>
      <c r="R115" s="28" t="b">
        <f t="shared" si="2"/>
        <v>0</v>
      </c>
      <c r="S115" s="28" t="b">
        <f t="shared" si="3"/>
        <v>0</v>
      </c>
    </row>
    <row r="116" spans="1:19" x14ac:dyDescent="0.2">
      <c r="F116" s="15"/>
      <c r="G116" s="15"/>
      <c r="H116" s="15"/>
      <c r="I116" s="19"/>
      <c r="J116" s="19"/>
      <c r="K116" s="19"/>
      <c r="L116" s="19"/>
      <c r="M116" s="19"/>
      <c r="N116" s="19"/>
      <c r="O116" s="19"/>
      <c r="P116" s="32"/>
      <c r="Q116" s="33"/>
      <c r="R116" s="28" t="b">
        <f t="shared" si="2"/>
        <v>0</v>
      </c>
      <c r="S116" s="28" t="b">
        <f t="shared" si="3"/>
        <v>0</v>
      </c>
    </row>
    <row r="117" spans="1:19" x14ac:dyDescent="0.2">
      <c r="F117" s="15"/>
      <c r="G117" s="15"/>
      <c r="H117" s="15"/>
      <c r="I117" s="19"/>
      <c r="J117" s="19"/>
      <c r="K117" s="19"/>
      <c r="L117" s="19"/>
      <c r="M117" s="19"/>
      <c r="N117" s="19"/>
      <c r="O117" s="19"/>
      <c r="P117" s="32"/>
      <c r="Q117" s="33"/>
      <c r="R117" s="28" t="b">
        <f t="shared" si="2"/>
        <v>0</v>
      </c>
      <c r="S117" s="28" t="b">
        <f t="shared" si="3"/>
        <v>0</v>
      </c>
    </row>
    <row r="118" spans="1:19" x14ac:dyDescent="0.2">
      <c r="F118" s="15"/>
      <c r="G118" s="15"/>
      <c r="H118" s="15"/>
      <c r="I118" s="19"/>
      <c r="J118" s="19"/>
      <c r="K118" s="19"/>
      <c r="L118" s="19"/>
      <c r="M118" s="19"/>
      <c r="N118" s="19"/>
      <c r="O118" s="19"/>
      <c r="P118" s="32"/>
      <c r="Q118" s="33"/>
      <c r="R118" s="28" t="b">
        <f t="shared" si="2"/>
        <v>0</v>
      </c>
      <c r="S118" s="28" t="b">
        <f t="shared" si="3"/>
        <v>0</v>
      </c>
    </row>
    <row r="119" spans="1:19" x14ac:dyDescent="0.2">
      <c r="F119" s="15"/>
      <c r="G119" s="15"/>
      <c r="H119" s="15"/>
      <c r="I119" s="19"/>
      <c r="J119" s="19"/>
      <c r="K119" s="19"/>
      <c r="L119" s="19"/>
      <c r="M119" s="19"/>
      <c r="N119" s="19"/>
      <c r="O119" s="19"/>
      <c r="P119" s="32"/>
      <c r="Q119" s="33"/>
      <c r="R119" s="28" t="b">
        <f t="shared" si="2"/>
        <v>0</v>
      </c>
      <c r="S119" s="28" t="b">
        <f t="shared" si="3"/>
        <v>0</v>
      </c>
    </row>
    <row r="120" spans="1:19" x14ac:dyDescent="0.2">
      <c r="F120" s="15"/>
      <c r="G120" s="15"/>
      <c r="H120" s="15"/>
      <c r="I120" s="19"/>
      <c r="J120" s="19"/>
      <c r="K120" s="19"/>
      <c r="L120" s="19"/>
      <c r="M120" s="19"/>
      <c r="N120" s="19"/>
      <c r="O120" s="19"/>
      <c r="P120" s="32"/>
      <c r="Q120" s="33"/>
      <c r="R120" s="28" t="b">
        <f t="shared" si="2"/>
        <v>0</v>
      </c>
      <c r="S120" s="28" t="b">
        <f t="shared" si="3"/>
        <v>0</v>
      </c>
    </row>
    <row r="121" spans="1:19" x14ac:dyDescent="0.2">
      <c r="I121" s="19"/>
      <c r="J121" s="19"/>
      <c r="K121" s="19"/>
      <c r="L121" s="19"/>
      <c r="M121" s="19"/>
      <c r="N121" s="19"/>
      <c r="O121" s="19"/>
      <c r="P121" s="32"/>
      <c r="Q121" s="33"/>
      <c r="R121" s="28" t="b">
        <f t="shared" si="2"/>
        <v>0</v>
      </c>
      <c r="S121" s="28" t="b">
        <f t="shared" si="3"/>
        <v>0</v>
      </c>
    </row>
    <row r="122" spans="1:19" x14ac:dyDescent="0.2">
      <c r="I122" s="19"/>
      <c r="J122" s="19"/>
      <c r="K122" s="19"/>
      <c r="L122" s="19"/>
      <c r="M122" s="19"/>
      <c r="N122" s="19"/>
      <c r="O122" s="19"/>
      <c r="P122" s="32"/>
      <c r="Q122" s="33"/>
      <c r="R122" s="28" t="b">
        <f t="shared" si="2"/>
        <v>0</v>
      </c>
      <c r="S122" s="28" t="b">
        <f t="shared" si="3"/>
        <v>0</v>
      </c>
    </row>
    <row r="123" spans="1:19" x14ac:dyDescent="0.2">
      <c r="I123" s="19"/>
      <c r="J123" s="19"/>
      <c r="K123" s="19"/>
      <c r="L123" s="19"/>
      <c r="M123" s="19"/>
      <c r="N123" s="19"/>
      <c r="O123" s="19"/>
      <c r="P123" s="32"/>
      <c r="Q123" s="33"/>
      <c r="R123" s="28" t="b">
        <f t="shared" si="2"/>
        <v>0</v>
      </c>
      <c r="S123" s="28" t="b">
        <f t="shared" si="3"/>
        <v>0</v>
      </c>
    </row>
    <row r="124" spans="1:19" x14ac:dyDescent="0.2">
      <c r="I124" s="19"/>
      <c r="J124" s="19"/>
      <c r="K124" s="19"/>
      <c r="L124" s="19"/>
      <c r="M124" s="19"/>
      <c r="N124" s="19"/>
      <c r="O124" s="19"/>
      <c r="P124" s="32"/>
      <c r="Q124" s="33"/>
      <c r="R124" s="28" t="b">
        <f t="shared" si="2"/>
        <v>0</v>
      </c>
      <c r="S124" s="28" t="b">
        <f t="shared" si="3"/>
        <v>0</v>
      </c>
    </row>
    <row r="125" spans="1:19" x14ac:dyDescent="0.2">
      <c r="I125" s="19"/>
      <c r="J125" s="19"/>
      <c r="K125" s="19"/>
      <c r="L125" s="19"/>
      <c r="M125" s="19"/>
      <c r="N125" s="19"/>
      <c r="O125" s="19"/>
      <c r="P125" s="32"/>
      <c r="Q125" s="33"/>
      <c r="R125" s="28" t="b">
        <f t="shared" si="2"/>
        <v>0</v>
      </c>
      <c r="S125" s="28" t="b">
        <f t="shared" si="3"/>
        <v>0</v>
      </c>
    </row>
    <row r="126" spans="1:19" x14ac:dyDescent="0.2">
      <c r="I126" s="19"/>
      <c r="J126" s="19"/>
      <c r="K126" s="19"/>
      <c r="L126" s="19"/>
      <c r="M126" s="19"/>
      <c r="N126" s="19"/>
      <c r="O126" s="19"/>
      <c r="P126" s="32"/>
      <c r="Q126" s="33"/>
      <c r="R126" s="28" t="b">
        <f t="shared" si="2"/>
        <v>0</v>
      </c>
      <c r="S126" s="28" t="b">
        <f t="shared" si="3"/>
        <v>0</v>
      </c>
    </row>
    <row r="127" spans="1:19" x14ac:dyDescent="0.2">
      <c r="I127" s="19"/>
      <c r="J127" s="19"/>
      <c r="K127" s="19"/>
      <c r="L127" s="19"/>
      <c r="M127" s="19"/>
      <c r="N127" s="19"/>
      <c r="O127" s="19"/>
      <c r="P127" s="32"/>
      <c r="Q127" s="33"/>
      <c r="R127" s="28" t="b">
        <f t="shared" si="2"/>
        <v>0</v>
      </c>
      <c r="S127" s="28" t="b">
        <f t="shared" si="3"/>
        <v>0</v>
      </c>
    </row>
    <row r="128" spans="1:19" x14ac:dyDescent="0.2">
      <c r="I128" s="19"/>
      <c r="J128" s="19"/>
      <c r="K128" s="19"/>
      <c r="L128" s="19"/>
      <c r="M128" s="19"/>
      <c r="N128" s="19"/>
      <c r="O128" s="19"/>
      <c r="P128" s="32"/>
      <c r="Q128" s="33"/>
      <c r="R128" s="28" t="b">
        <f t="shared" si="2"/>
        <v>0</v>
      </c>
      <c r="S128" s="28" t="b">
        <f t="shared" si="3"/>
        <v>0</v>
      </c>
    </row>
    <row r="129" spans="9:19" x14ac:dyDescent="0.2">
      <c r="I129" s="19"/>
      <c r="J129" s="19"/>
      <c r="K129" s="19"/>
      <c r="L129" s="19"/>
      <c r="M129" s="19"/>
      <c r="N129" s="19"/>
      <c r="O129" s="19"/>
      <c r="P129" s="32"/>
      <c r="Q129" s="33"/>
      <c r="R129" s="28" t="b">
        <f t="shared" si="2"/>
        <v>0</v>
      </c>
      <c r="S129" s="28" t="b">
        <f t="shared" si="3"/>
        <v>0</v>
      </c>
    </row>
    <row r="130" spans="9:19" x14ac:dyDescent="0.2">
      <c r="I130" s="19"/>
      <c r="J130" s="19"/>
      <c r="K130" s="19"/>
      <c r="L130" s="19"/>
      <c r="M130" s="19"/>
      <c r="N130" s="19"/>
      <c r="O130" s="19"/>
      <c r="P130" s="32"/>
      <c r="Q130" s="33"/>
      <c r="R130" s="28" t="b">
        <f t="shared" si="2"/>
        <v>0</v>
      </c>
      <c r="S130" s="28" t="b">
        <f t="shared" si="3"/>
        <v>0</v>
      </c>
    </row>
    <row r="131" spans="9:19" x14ac:dyDescent="0.2">
      <c r="I131" s="19"/>
      <c r="J131" s="19"/>
      <c r="K131" s="19"/>
      <c r="L131" s="19"/>
      <c r="M131" s="19"/>
      <c r="N131" s="19"/>
      <c r="O131" s="19"/>
      <c r="P131" s="32"/>
      <c r="Q131" s="33"/>
      <c r="R131" s="28" t="b">
        <f t="shared" si="2"/>
        <v>0</v>
      </c>
      <c r="S131" s="28" t="b">
        <f t="shared" si="3"/>
        <v>0</v>
      </c>
    </row>
    <row r="132" spans="9:19" x14ac:dyDescent="0.2">
      <c r="I132" s="19"/>
      <c r="J132" s="19"/>
      <c r="K132" s="19"/>
      <c r="L132" s="19"/>
      <c r="M132" s="19"/>
      <c r="N132" s="19"/>
      <c r="O132" s="19"/>
      <c r="P132" s="32"/>
      <c r="Q132" s="33"/>
      <c r="R132" s="28" t="b">
        <f t="shared" ref="R132:R195" si="4">IF($P132&gt;0,$B$17+$B$18*$P132)</f>
        <v>0</v>
      </c>
      <c r="S132" s="28" t="b">
        <f t="shared" ref="S132:S195" si="5">IF($P132&gt;0,$Q132-$R132)</f>
        <v>0</v>
      </c>
    </row>
    <row r="133" spans="9:19" x14ac:dyDescent="0.2">
      <c r="I133" s="19"/>
      <c r="J133" s="19"/>
      <c r="K133" s="19"/>
      <c r="L133" s="19"/>
      <c r="M133" s="19"/>
      <c r="N133" s="19"/>
      <c r="O133" s="19"/>
      <c r="P133" s="32"/>
      <c r="Q133" s="33"/>
      <c r="R133" s="28" t="b">
        <f t="shared" si="4"/>
        <v>0</v>
      </c>
      <c r="S133" s="28" t="b">
        <f t="shared" si="5"/>
        <v>0</v>
      </c>
    </row>
    <row r="134" spans="9:19" x14ac:dyDescent="0.2">
      <c r="I134" s="19"/>
      <c r="J134" s="19"/>
      <c r="K134" s="19"/>
      <c r="L134" s="19"/>
      <c r="M134" s="19"/>
      <c r="N134" s="19"/>
      <c r="O134" s="19"/>
      <c r="P134" s="32"/>
      <c r="Q134" s="33"/>
      <c r="R134" s="28" t="b">
        <f t="shared" si="4"/>
        <v>0</v>
      </c>
      <c r="S134" s="28" t="b">
        <f t="shared" si="5"/>
        <v>0</v>
      </c>
    </row>
    <row r="135" spans="9:19" x14ac:dyDescent="0.2">
      <c r="I135" s="19"/>
      <c r="J135" s="19"/>
      <c r="K135" s="19"/>
      <c r="L135" s="19"/>
      <c r="M135" s="19"/>
      <c r="N135" s="19"/>
      <c r="O135" s="19"/>
      <c r="P135" s="32"/>
      <c r="Q135" s="33"/>
      <c r="R135" s="28" t="b">
        <f t="shared" si="4"/>
        <v>0</v>
      </c>
      <c r="S135" s="28" t="b">
        <f t="shared" si="5"/>
        <v>0</v>
      </c>
    </row>
    <row r="136" spans="9:19" x14ac:dyDescent="0.2">
      <c r="I136" s="19"/>
      <c r="J136" s="19"/>
      <c r="K136" s="19"/>
      <c r="L136" s="19"/>
      <c r="M136" s="19"/>
      <c r="N136" s="19"/>
      <c r="O136" s="19"/>
      <c r="P136" s="32"/>
      <c r="Q136" s="33"/>
      <c r="R136" s="28" t="b">
        <f t="shared" si="4"/>
        <v>0</v>
      </c>
      <c r="S136" s="28" t="b">
        <f t="shared" si="5"/>
        <v>0</v>
      </c>
    </row>
    <row r="137" spans="9:19" x14ac:dyDescent="0.2">
      <c r="I137" s="19"/>
      <c r="J137" s="19"/>
      <c r="K137" s="19"/>
      <c r="L137" s="19"/>
      <c r="M137" s="19"/>
      <c r="N137" s="19"/>
      <c r="O137" s="19"/>
      <c r="P137" s="32"/>
      <c r="Q137" s="33"/>
      <c r="R137" s="28" t="b">
        <f t="shared" si="4"/>
        <v>0</v>
      </c>
      <c r="S137" s="28" t="b">
        <f t="shared" si="5"/>
        <v>0</v>
      </c>
    </row>
    <row r="138" spans="9:19" x14ac:dyDescent="0.2">
      <c r="I138" s="19"/>
      <c r="J138" s="19"/>
      <c r="K138" s="19"/>
      <c r="L138" s="19"/>
      <c r="M138" s="19"/>
      <c r="N138" s="19"/>
      <c r="O138" s="19"/>
      <c r="P138" s="32"/>
      <c r="Q138" s="33"/>
      <c r="R138" s="28" t="b">
        <f t="shared" si="4"/>
        <v>0</v>
      </c>
      <c r="S138" s="28" t="b">
        <f t="shared" si="5"/>
        <v>0</v>
      </c>
    </row>
    <row r="139" spans="9:19" x14ac:dyDescent="0.2">
      <c r="I139" s="19"/>
      <c r="J139" s="19"/>
      <c r="K139" s="19"/>
      <c r="L139" s="19"/>
      <c r="M139" s="19"/>
      <c r="N139" s="19"/>
      <c r="O139" s="19"/>
      <c r="P139" s="32"/>
      <c r="Q139" s="33"/>
      <c r="R139" s="28" t="b">
        <f t="shared" si="4"/>
        <v>0</v>
      </c>
      <c r="S139" s="28" t="b">
        <f t="shared" si="5"/>
        <v>0</v>
      </c>
    </row>
    <row r="140" spans="9:19" x14ac:dyDescent="0.2">
      <c r="I140" s="19"/>
      <c r="J140" s="19"/>
      <c r="K140" s="19"/>
      <c r="L140" s="19"/>
      <c r="M140" s="19"/>
      <c r="N140" s="19"/>
      <c r="O140" s="19"/>
      <c r="P140" s="32"/>
      <c r="Q140" s="33"/>
      <c r="R140" s="28" t="b">
        <f t="shared" si="4"/>
        <v>0</v>
      </c>
      <c r="S140" s="28" t="b">
        <f t="shared" si="5"/>
        <v>0</v>
      </c>
    </row>
    <row r="141" spans="9:19" x14ac:dyDescent="0.2">
      <c r="I141" s="19"/>
      <c r="J141" s="19"/>
      <c r="K141" s="19"/>
      <c r="L141" s="19"/>
      <c r="M141" s="19"/>
      <c r="N141" s="19"/>
      <c r="O141" s="19"/>
      <c r="P141" s="32"/>
      <c r="Q141" s="33"/>
      <c r="R141" s="28" t="b">
        <f t="shared" si="4"/>
        <v>0</v>
      </c>
      <c r="S141" s="28" t="b">
        <f t="shared" si="5"/>
        <v>0</v>
      </c>
    </row>
    <row r="142" spans="9:19" x14ac:dyDescent="0.2">
      <c r="I142" s="19"/>
      <c r="J142" s="19"/>
      <c r="K142" s="19"/>
      <c r="L142" s="19"/>
      <c r="M142" s="19"/>
      <c r="N142" s="19"/>
      <c r="O142" s="19"/>
      <c r="P142" s="32"/>
      <c r="Q142" s="33"/>
      <c r="R142" s="28" t="b">
        <f t="shared" si="4"/>
        <v>0</v>
      </c>
      <c r="S142" s="28" t="b">
        <f t="shared" si="5"/>
        <v>0</v>
      </c>
    </row>
    <row r="143" spans="9:19" x14ac:dyDescent="0.2">
      <c r="I143" s="19"/>
      <c r="J143" s="19"/>
      <c r="K143" s="19"/>
      <c r="L143" s="19"/>
      <c r="M143" s="19"/>
      <c r="N143" s="19"/>
      <c r="O143" s="19"/>
      <c r="P143" s="32"/>
      <c r="Q143" s="33"/>
      <c r="R143" s="28" t="b">
        <f t="shared" si="4"/>
        <v>0</v>
      </c>
      <c r="S143" s="28" t="b">
        <f t="shared" si="5"/>
        <v>0</v>
      </c>
    </row>
    <row r="144" spans="9:19" x14ac:dyDescent="0.2">
      <c r="I144" s="19"/>
      <c r="J144" s="19"/>
      <c r="K144" s="19"/>
      <c r="L144" s="19"/>
      <c r="M144" s="19"/>
      <c r="N144" s="19"/>
      <c r="O144" s="19"/>
      <c r="P144" s="32"/>
      <c r="Q144" s="33"/>
      <c r="R144" s="28" t="b">
        <f t="shared" si="4"/>
        <v>0</v>
      </c>
      <c r="S144" s="28" t="b">
        <f t="shared" si="5"/>
        <v>0</v>
      </c>
    </row>
    <row r="145" spans="9:19" x14ac:dyDescent="0.2">
      <c r="I145" s="19"/>
      <c r="J145" s="19"/>
      <c r="K145" s="19"/>
      <c r="L145" s="19"/>
      <c r="M145" s="19"/>
      <c r="N145" s="19"/>
      <c r="O145" s="19"/>
      <c r="P145" s="32"/>
      <c r="Q145" s="33"/>
      <c r="R145" s="28" t="b">
        <f t="shared" si="4"/>
        <v>0</v>
      </c>
      <c r="S145" s="28" t="b">
        <f t="shared" si="5"/>
        <v>0</v>
      </c>
    </row>
    <row r="146" spans="9:19" x14ac:dyDescent="0.2">
      <c r="I146" s="19"/>
      <c r="J146" s="19"/>
      <c r="K146" s="19"/>
      <c r="L146" s="19"/>
      <c r="M146" s="19"/>
      <c r="N146" s="19"/>
      <c r="O146" s="19"/>
      <c r="P146" s="32"/>
      <c r="Q146" s="33"/>
      <c r="R146" s="28" t="b">
        <f t="shared" si="4"/>
        <v>0</v>
      </c>
      <c r="S146" s="28" t="b">
        <f t="shared" si="5"/>
        <v>0</v>
      </c>
    </row>
    <row r="147" spans="9:19" x14ac:dyDescent="0.2">
      <c r="I147" s="19"/>
      <c r="J147" s="19"/>
      <c r="K147" s="19"/>
      <c r="L147" s="19"/>
      <c r="M147" s="19"/>
      <c r="N147" s="19"/>
      <c r="O147" s="19"/>
      <c r="P147" s="32"/>
      <c r="Q147" s="33"/>
      <c r="R147" s="28" t="b">
        <f t="shared" si="4"/>
        <v>0</v>
      </c>
      <c r="S147" s="28" t="b">
        <f t="shared" si="5"/>
        <v>0</v>
      </c>
    </row>
    <row r="148" spans="9:19" x14ac:dyDescent="0.2">
      <c r="I148" s="19"/>
      <c r="J148" s="19"/>
      <c r="K148" s="19"/>
      <c r="L148" s="19"/>
      <c r="M148" s="19"/>
      <c r="N148" s="19"/>
      <c r="O148" s="19"/>
      <c r="P148" s="32"/>
      <c r="Q148" s="33"/>
      <c r="R148" s="28" t="b">
        <f t="shared" si="4"/>
        <v>0</v>
      </c>
      <c r="S148" s="28" t="b">
        <f t="shared" si="5"/>
        <v>0</v>
      </c>
    </row>
    <row r="149" spans="9:19" x14ac:dyDescent="0.2">
      <c r="I149" s="19"/>
      <c r="J149" s="19"/>
      <c r="K149" s="19"/>
      <c r="L149" s="19"/>
      <c r="M149" s="19"/>
      <c r="N149" s="19"/>
      <c r="O149" s="19"/>
      <c r="P149" s="32"/>
      <c r="Q149" s="33"/>
      <c r="R149" s="28" t="b">
        <f t="shared" si="4"/>
        <v>0</v>
      </c>
      <c r="S149" s="28" t="b">
        <f t="shared" si="5"/>
        <v>0</v>
      </c>
    </row>
    <row r="150" spans="9:19" x14ac:dyDescent="0.2">
      <c r="I150" s="19"/>
      <c r="J150" s="19"/>
      <c r="K150" s="19"/>
      <c r="L150" s="19"/>
      <c r="M150" s="19"/>
      <c r="N150" s="19"/>
      <c r="O150" s="19"/>
      <c r="P150" s="32"/>
      <c r="Q150" s="33"/>
      <c r="R150" s="28" t="b">
        <f t="shared" si="4"/>
        <v>0</v>
      </c>
      <c r="S150" s="28" t="b">
        <f t="shared" si="5"/>
        <v>0</v>
      </c>
    </row>
    <row r="151" spans="9:19" x14ac:dyDescent="0.2">
      <c r="I151" s="19"/>
      <c r="J151" s="19"/>
      <c r="K151" s="19"/>
      <c r="L151" s="19"/>
      <c r="M151" s="19"/>
      <c r="N151" s="19"/>
      <c r="O151" s="19"/>
      <c r="P151" s="32"/>
      <c r="Q151" s="33"/>
      <c r="R151" s="28" t="b">
        <f t="shared" si="4"/>
        <v>0</v>
      </c>
      <c r="S151" s="28" t="b">
        <f t="shared" si="5"/>
        <v>0</v>
      </c>
    </row>
    <row r="152" spans="9:19" x14ac:dyDescent="0.2">
      <c r="I152" s="19"/>
      <c r="J152" s="19"/>
      <c r="K152" s="19"/>
      <c r="L152" s="19"/>
      <c r="M152" s="19"/>
      <c r="N152" s="19"/>
      <c r="O152" s="19"/>
      <c r="P152" s="32"/>
      <c r="Q152" s="33"/>
      <c r="R152" s="28" t="b">
        <f t="shared" si="4"/>
        <v>0</v>
      </c>
      <c r="S152" s="28" t="b">
        <f t="shared" si="5"/>
        <v>0</v>
      </c>
    </row>
    <row r="153" spans="9:19" x14ac:dyDescent="0.2">
      <c r="I153" s="19"/>
      <c r="J153" s="19"/>
      <c r="K153" s="19"/>
      <c r="L153" s="19"/>
      <c r="M153" s="19"/>
      <c r="N153" s="19"/>
      <c r="O153" s="19"/>
      <c r="P153" s="32"/>
      <c r="Q153" s="33"/>
      <c r="R153" s="28" t="b">
        <f t="shared" si="4"/>
        <v>0</v>
      </c>
      <c r="S153" s="28" t="b">
        <f t="shared" si="5"/>
        <v>0</v>
      </c>
    </row>
    <row r="154" spans="9:19" x14ac:dyDescent="0.2">
      <c r="I154" s="19"/>
      <c r="J154" s="19"/>
      <c r="K154" s="19"/>
      <c r="L154" s="19"/>
      <c r="M154" s="19"/>
      <c r="N154" s="19"/>
      <c r="O154" s="19"/>
      <c r="P154" s="32"/>
      <c r="Q154" s="33"/>
      <c r="R154" s="28" t="b">
        <f t="shared" si="4"/>
        <v>0</v>
      </c>
      <c r="S154" s="28" t="b">
        <f t="shared" si="5"/>
        <v>0</v>
      </c>
    </row>
    <row r="155" spans="9:19" x14ac:dyDescent="0.2">
      <c r="P155" s="32"/>
      <c r="Q155" s="33"/>
      <c r="R155" s="28" t="b">
        <f t="shared" si="4"/>
        <v>0</v>
      </c>
      <c r="S155" s="28" t="b">
        <f t="shared" si="5"/>
        <v>0</v>
      </c>
    </row>
    <row r="156" spans="9:19" x14ac:dyDescent="0.2">
      <c r="P156" s="32"/>
      <c r="Q156" s="33"/>
      <c r="R156" s="28" t="b">
        <f t="shared" si="4"/>
        <v>0</v>
      </c>
      <c r="S156" s="28" t="b">
        <f t="shared" si="5"/>
        <v>0</v>
      </c>
    </row>
    <row r="157" spans="9:19" x14ac:dyDescent="0.2">
      <c r="P157" s="32"/>
      <c r="Q157" s="33"/>
      <c r="R157" s="28" t="b">
        <f t="shared" si="4"/>
        <v>0</v>
      </c>
      <c r="S157" s="28" t="b">
        <f t="shared" si="5"/>
        <v>0</v>
      </c>
    </row>
    <row r="158" spans="9:19" x14ac:dyDescent="0.2">
      <c r="P158" s="32"/>
      <c r="Q158" s="33"/>
      <c r="R158" s="28" t="b">
        <f t="shared" si="4"/>
        <v>0</v>
      </c>
      <c r="S158" s="28" t="b">
        <f t="shared" si="5"/>
        <v>0</v>
      </c>
    </row>
    <row r="159" spans="9:19" x14ac:dyDescent="0.2">
      <c r="P159" s="32"/>
      <c r="Q159" s="33"/>
      <c r="R159" s="28" t="b">
        <f t="shared" si="4"/>
        <v>0</v>
      </c>
      <c r="S159" s="28" t="b">
        <f t="shared" si="5"/>
        <v>0</v>
      </c>
    </row>
    <row r="160" spans="9:19" x14ac:dyDescent="0.2">
      <c r="P160" s="32"/>
      <c r="Q160" s="33"/>
      <c r="R160" s="28" t="b">
        <f t="shared" si="4"/>
        <v>0</v>
      </c>
      <c r="S160" s="28" t="b">
        <f t="shared" si="5"/>
        <v>0</v>
      </c>
    </row>
    <row r="161" spans="16:19" x14ac:dyDescent="0.2">
      <c r="P161" s="32"/>
      <c r="Q161" s="33"/>
      <c r="R161" s="28" t="b">
        <f t="shared" si="4"/>
        <v>0</v>
      </c>
      <c r="S161" s="28" t="b">
        <f t="shared" si="5"/>
        <v>0</v>
      </c>
    </row>
    <row r="162" spans="16:19" x14ac:dyDescent="0.2">
      <c r="P162" s="32"/>
      <c r="Q162" s="33"/>
      <c r="R162" s="28" t="b">
        <f t="shared" si="4"/>
        <v>0</v>
      </c>
      <c r="S162" s="28" t="b">
        <f t="shared" si="5"/>
        <v>0</v>
      </c>
    </row>
    <row r="163" spans="16:19" x14ac:dyDescent="0.2">
      <c r="P163" s="32"/>
      <c r="Q163" s="33"/>
      <c r="R163" s="28" t="b">
        <f t="shared" si="4"/>
        <v>0</v>
      </c>
      <c r="S163" s="28" t="b">
        <f t="shared" si="5"/>
        <v>0</v>
      </c>
    </row>
    <row r="164" spans="16:19" x14ac:dyDescent="0.2">
      <c r="P164" s="32"/>
      <c r="Q164" s="33"/>
      <c r="R164" s="28" t="b">
        <f t="shared" si="4"/>
        <v>0</v>
      </c>
      <c r="S164" s="28" t="b">
        <f t="shared" si="5"/>
        <v>0</v>
      </c>
    </row>
    <row r="165" spans="16:19" x14ac:dyDescent="0.2">
      <c r="P165" s="32"/>
      <c r="Q165" s="33"/>
      <c r="R165" s="28" t="b">
        <f t="shared" si="4"/>
        <v>0</v>
      </c>
      <c r="S165" s="28" t="b">
        <f t="shared" si="5"/>
        <v>0</v>
      </c>
    </row>
    <row r="166" spans="16:19" x14ac:dyDescent="0.2">
      <c r="P166" s="32"/>
      <c r="Q166" s="33"/>
      <c r="R166" s="28" t="b">
        <f t="shared" si="4"/>
        <v>0</v>
      </c>
      <c r="S166" s="28" t="b">
        <f t="shared" si="5"/>
        <v>0</v>
      </c>
    </row>
    <row r="167" spans="16:19" x14ac:dyDescent="0.2">
      <c r="P167" s="32"/>
      <c r="Q167" s="33"/>
      <c r="R167" s="28" t="b">
        <f t="shared" si="4"/>
        <v>0</v>
      </c>
      <c r="S167" s="28" t="b">
        <f t="shared" si="5"/>
        <v>0</v>
      </c>
    </row>
    <row r="168" spans="16:19" x14ac:dyDescent="0.2">
      <c r="P168" s="32"/>
      <c r="Q168" s="33"/>
      <c r="R168" s="28" t="b">
        <f t="shared" si="4"/>
        <v>0</v>
      </c>
      <c r="S168" s="28" t="b">
        <f t="shared" si="5"/>
        <v>0</v>
      </c>
    </row>
    <row r="169" spans="16:19" x14ac:dyDescent="0.2">
      <c r="P169" s="32"/>
      <c r="Q169" s="33"/>
      <c r="R169" s="28" t="b">
        <f t="shared" si="4"/>
        <v>0</v>
      </c>
      <c r="S169" s="28" t="b">
        <f t="shared" si="5"/>
        <v>0</v>
      </c>
    </row>
    <row r="170" spans="16:19" x14ac:dyDescent="0.2">
      <c r="P170" s="32"/>
      <c r="Q170" s="33"/>
      <c r="R170" s="28" t="b">
        <f t="shared" si="4"/>
        <v>0</v>
      </c>
      <c r="S170" s="28" t="b">
        <f t="shared" si="5"/>
        <v>0</v>
      </c>
    </row>
    <row r="171" spans="16:19" x14ac:dyDescent="0.2">
      <c r="P171" s="32"/>
      <c r="Q171" s="33"/>
      <c r="R171" s="28" t="b">
        <f t="shared" si="4"/>
        <v>0</v>
      </c>
      <c r="S171" s="28" t="b">
        <f t="shared" si="5"/>
        <v>0</v>
      </c>
    </row>
    <row r="172" spans="16:19" x14ac:dyDescent="0.2">
      <c r="P172" s="32"/>
      <c r="Q172" s="33"/>
      <c r="R172" s="28" t="b">
        <f t="shared" si="4"/>
        <v>0</v>
      </c>
      <c r="S172" s="28" t="b">
        <f t="shared" si="5"/>
        <v>0</v>
      </c>
    </row>
    <row r="173" spans="16:19" x14ac:dyDescent="0.2">
      <c r="P173" s="32"/>
      <c r="Q173" s="33"/>
      <c r="R173" s="28" t="b">
        <f t="shared" si="4"/>
        <v>0</v>
      </c>
      <c r="S173" s="28" t="b">
        <f t="shared" si="5"/>
        <v>0</v>
      </c>
    </row>
    <row r="174" spans="16:19" x14ac:dyDescent="0.2">
      <c r="P174" s="32"/>
      <c r="Q174" s="33"/>
      <c r="R174" s="28" t="b">
        <f t="shared" si="4"/>
        <v>0</v>
      </c>
      <c r="S174" s="28" t="b">
        <f t="shared" si="5"/>
        <v>0</v>
      </c>
    </row>
    <row r="175" spans="16:19" x14ac:dyDescent="0.2">
      <c r="P175" s="32"/>
      <c r="Q175" s="33"/>
      <c r="R175" s="28" t="b">
        <f t="shared" si="4"/>
        <v>0</v>
      </c>
      <c r="S175" s="28" t="b">
        <f t="shared" si="5"/>
        <v>0</v>
      </c>
    </row>
    <row r="176" spans="16:19" x14ac:dyDescent="0.2">
      <c r="P176" s="32"/>
      <c r="Q176" s="33"/>
      <c r="R176" s="28" t="b">
        <f t="shared" si="4"/>
        <v>0</v>
      </c>
      <c r="S176" s="28" t="b">
        <f t="shared" si="5"/>
        <v>0</v>
      </c>
    </row>
    <row r="177" spans="16:19" x14ac:dyDescent="0.2">
      <c r="P177" s="32"/>
      <c r="Q177" s="33"/>
      <c r="R177" s="28" t="b">
        <f t="shared" si="4"/>
        <v>0</v>
      </c>
      <c r="S177" s="28" t="b">
        <f t="shared" si="5"/>
        <v>0</v>
      </c>
    </row>
    <row r="178" spans="16:19" x14ac:dyDescent="0.2">
      <c r="P178" s="32"/>
      <c r="Q178" s="33"/>
      <c r="R178" s="28" t="b">
        <f t="shared" si="4"/>
        <v>0</v>
      </c>
      <c r="S178" s="28" t="b">
        <f t="shared" si="5"/>
        <v>0</v>
      </c>
    </row>
    <row r="179" spans="16:19" x14ac:dyDescent="0.2">
      <c r="P179" s="32"/>
      <c r="Q179" s="33"/>
      <c r="R179" s="28" t="b">
        <f t="shared" si="4"/>
        <v>0</v>
      </c>
      <c r="S179" s="28" t="b">
        <f t="shared" si="5"/>
        <v>0</v>
      </c>
    </row>
    <row r="180" spans="16:19" x14ac:dyDescent="0.2">
      <c r="P180" s="32"/>
      <c r="Q180" s="33"/>
      <c r="R180" s="28" t="b">
        <f t="shared" si="4"/>
        <v>0</v>
      </c>
      <c r="S180" s="28" t="b">
        <f t="shared" si="5"/>
        <v>0</v>
      </c>
    </row>
    <row r="181" spans="16:19" x14ac:dyDescent="0.2">
      <c r="P181" s="32"/>
      <c r="Q181" s="33"/>
      <c r="R181" s="28" t="b">
        <f t="shared" si="4"/>
        <v>0</v>
      </c>
      <c r="S181" s="28" t="b">
        <f t="shared" si="5"/>
        <v>0</v>
      </c>
    </row>
    <row r="182" spans="16:19" x14ac:dyDescent="0.2">
      <c r="P182" s="32"/>
      <c r="Q182" s="33"/>
      <c r="R182" s="28" t="b">
        <f t="shared" si="4"/>
        <v>0</v>
      </c>
      <c r="S182" s="28" t="b">
        <f t="shared" si="5"/>
        <v>0</v>
      </c>
    </row>
    <row r="183" spans="16:19" x14ac:dyDescent="0.2">
      <c r="P183" s="32"/>
      <c r="Q183" s="33"/>
      <c r="R183" s="28" t="b">
        <f t="shared" si="4"/>
        <v>0</v>
      </c>
      <c r="S183" s="28" t="b">
        <f t="shared" si="5"/>
        <v>0</v>
      </c>
    </row>
    <row r="184" spans="16:19" x14ac:dyDescent="0.2">
      <c r="P184" s="32"/>
      <c r="Q184" s="33"/>
      <c r="R184" s="28" t="b">
        <f t="shared" si="4"/>
        <v>0</v>
      </c>
      <c r="S184" s="28" t="b">
        <f t="shared" si="5"/>
        <v>0</v>
      </c>
    </row>
    <row r="185" spans="16:19" x14ac:dyDescent="0.2">
      <c r="P185" s="32"/>
      <c r="Q185" s="33"/>
      <c r="R185" s="28" t="b">
        <f t="shared" si="4"/>
        <v>0</v>
      </c>
      <c r="S185" s="28" t="b">
        <f t="shared" si="5"/>
        <v>0</v>
      </c>
    </row>
    <row r="186" spans="16:19" x14ac:dyDescent="0.2">
      <c r="P186" s="32"/>
      <c r="Q186" s="33"/>
      <c r="R186" s="28" t="b">
        <f t="shared" si="4"/>
        <v>0</v>
      </c>
      <c r="S186" s="28" t="b">
        <f t="shared" si="5"/>
        <v>0</v>
      </c>
    </row>
    <row r="187" spans="16:19" x14ac:dyDescent="0.2">
      <c r="P187" s="32"/>
      <c r="Q187" s="33"/>
      <c r="R187" s="28" t="b">
        <f t="shared" si="4"/>
        <v>0</v>
      </c>
      <c r="S187" s="28" t="b">
        <f t="shared" si="5"/>
        <v>0</v>
      </c>
    </row>
    <row r="188" spans="16:19" x14ac:dyDescent="0.2">
      <c r="P188" s="32"/>
      <c r="Q188" s="33"/>
      <c r="R188" s="28" t="b">
        <f t="shared" si="4"/>
        <v>0</v>
      </c>
      <c r="S188" s="28" t="b">
        <f t="shared" si="5"/>
        <v>0</v>
      </c>
    </row>
    <row r="189" spans="16:19" x14ac:dyDescent="0.2">
      <c r="P189" s="32"/>
      <c r="Q189" s="33"/>
      <c r="R189" s="28" t="b">
        <f t="shared" si="4"/>
        <v>0</v>
      </c>
      <c r="S189" s="28" t="b">
        <f t="shared" si="5"/>
        <v>0</v>
      </c>
    </row>
    <row r="190" spans="16:19" x14ac:dyDescent="0.2">
      <c r="P190" s="32"/>
      <c r="Q190" s="33"/>
      <c r="R190" s="28" t="b">
        <f t="shared" si="4"/>
        <v>0</v>
      </c>
      <c r="S190" s="28" t="b">
        <f t="shared" si="5"/>
        <v>0</v>
      </c>
    </row>
    <row r="191" spans="16:19" x14ac:dyDescent="0.2">
      <c r="P191" s="32"/>
      <c r="Q191" s="33"/>
      <c r="R191" s="28" t="b">
        <f t="shared" si="4"/>
        <v>0</v>
      </c>
      <c r="S191" s="28" t="b">
        <f t="shared" si="5"/>
        <v>0</v>
      </c>
    </row>
    <row r="192" spans="16:19" x14ac:dyDescent="0.2">
      <c r="P192" s="32"/>
      <c r="Q192" s="33"/>
      <c r="R192" s="28" t="b">
        <f t="shared" si="4"/>
        <v>0</v>
      </c>
      <c r="S192" s="28" t="b">
        <f t="shared" si="5"/>
        <v>0</v>
      </c>
    </row>
    <row r="193" spans="16:19" x14ac:dyDescent="0.2">
      <c r="P193" s="32"/>
      <c r="Q193" s="33"/>
      <c r="R193" s="28" t="b">
        <f t="shared" si="4"/>
        <v>0</v>
      </c>
      <c r="S193" s="28" t="b">
        <f t="shared" si="5"/>
        <v>0</v>
      </c>
    </row>
    <row r="194" spans="16:19" x14ac:dyDescent="0.2">
      <c r="P194" s="32"/>
      <c r="Q194" s="33"/>
      <c r="R194" s="28" t="b">
        <f t="shared" si="4"/>
        <v>0</v>
      </c>
      <c r="S194" s="28" t="b">
        <f t="shared" si="5"/>
        <v>0</v>
      </c>
    </row>
    <row r="195" spans="16:19" x14ac:dyDescent="0.2">
      <c r="P195" s="32"/>
      <c r="Q195" s="33"/>
      <c r="R195" s="28" t="b">
        <f t="shared" si="4"/>
        <v>0</v>
      </c>
      <c r="S195" s="28" t="b">
        <f t="shared" si="5"/>
        <v>0</v>
      </c>
    </row>
    <row r="196" spans="16:19" x14ac:dyDescent="0.2">
      <c r="P196" s="32"/>
      <c r="Q196" s="33"/>
      <c r="R196" s="28" t="b">
        <f t="shared" ref="R196:R252" si="6">IF($P196&gt;0,$B$17+$B$18*$P196)</f>
        <v>0</v>
      </c>
      <c r="S196" s="28" t="b">
        <f t="shared" ref="S196:S252" si="7">IF($P196&gt;0,$Q196-$R196)</f>
        <v>0</v>
      </c>
    </row>
    <row r="197" spans="16:19" x14ac:dyDescent="0.2">
      <c r="P197" s="32"/>
      <c r="Q197" s="33"/>
      <c r="R197" s="28" t="b">
        <f t="shared" si="6"/>
        <v>0</v>
      </c>
      <c r="S197" s="28" t="b">
        <f t="shared" si="7"/>
        <v>0</v>
      </c>
    </row>
    <row r="198" spans="16:19" x14ac:dyDescent="0.2">
      <c r="P198" s="32"/>
      <c r="Q198" s="33"/>
      <c r="R198" s="28" t="b">
        <f t="shared" si="6"/>
        <v>0</v>
      </c>
      <c r="S198" s="28" t="b">
        <f t="shared" si="7"/>
        <v>0</v>
      </c>
    </row>
    <row r="199" spans="16:19" x14ac:dyDescent="0.2">
      <c r="P199" s="32"/>
      <c r="Q199" s="33"/>
      <c r="R199" s="28" t="b">
        <f t="shared" si="6"/>
        <v>0</v>
      </c>
      <c r="S199" s="28" t="b">
        <f t="shared" si="7"/>
        <v>0</v>
      </c>
    </row>
    <row r="200" spans="16:19" x14ac:dyDescent="0.2">
      <c r="P200" s="32"/>
      <c r="Q200" s="33"/>
      <c r="R200" s="28" t="b">
        <f t="shared" si="6"/>
        <v>0</v>
      </c>
      <c r="S200" s="28" t="b">
        <f t="shared" si="7"/>
        <v>0</v>
      </c>
    </row>
    <row r="201" spans="16:19" x14ac:dyDescent="0.2">
      <c r="P201" s="32"/>
      <c r="Q201" s="33"/>
      <c r="R201" s="28" t="b">
        <f t="shared" si="6"/>
        <v>0</v>
      </c>
      <c r="S201" s="28" t="b">
        <f t="shared" si="7"/>
        <v>0</v>
      </c>
    </row>
    <row r="202" spans="16:19" x14ac:dyDescent="0.2">
      <c r="P202" s="32"/>
      <c r="Q202" s="33"/>
      <c r="R202" s="28" t="b">
        <f t="shared" si="6"/>
        <v>0</v>
      </c>
      <c r="S202" s="28" t="b">
        <f t="shared" si="7"/>
        <v>0</v>
      </c>
    </row>
    <row r="203" spans="16:19" x14ac:dyDescent="0.2">
      <c r="P203" s="32"/>
      <c r="Q203" s="33"/>
      <c r="R203" s="28" t="b">
        <f t="shared" si="6"/>
        <v>0</v>
      </c>
      <c r="S203" s="28" t="b">
        <f t="shared" si="7"/>
        <v>0</v>
      </c>
    </row>
    <row r="204" spans="16:19" x14ac:dyDescent="0.2">
      <c r="P204" s="32"/>
      <c r="Q204" s="33"/>
      <c r="R204" s="28" t="b">
        <f t="shared" si="6"/>
        <v>0</v>
      </c>
      <c r="S204" s="28" t="b">
        <f t="shared" si="7"/>
        <v>0</v>
      </c>
    </row>
    <row r="205" spans="16:19" x14ac:dyDescent="0.2">
      <c r="P205" s="32"/>
      <c r="Q205" s="33"/>
      <c r="R205" s="28" t="b">
        <f t="shared" si="6"/>
        <v>0</v>
      </c>
      <c r="S205" s="28" t="b">
        <f t="shared" si="7"/>
        <v>0</v>
      </c>
    </row>
    <row r="206" spans="16:19" x14ac:dyDescent="0.2">
      <c r="P206" s="32"/>
      <c r="Q206" s="33"/>
      <c r="R206" s="28" t="b">
        <f t="shared" si="6"/>
        <v>0</v>
      </c>
      <c r="S206" s="28" t="b">
        <f t="shared" si="7"/>
        <v>0</v>
      </c>
    </row>
    <row r="207" spans="16:19" x14ac:dyDescent="0.2">
      <c r="P207" s="32"/>
      <c r="Q207" s="33"/>
      <c r="R207" s="28" t="b">
        <f t="shared" si="6"/>
        <v>0</v>
      </c>
      <c r="S207" s="28" t="b">
        <f t="shared" si="7"/>
        <v>0</v>
      </c>
    </row>
    <row r="208" spans="16:19" x14ac:dyDescent="0.2">
      <c r="P208" s="32"/>
      <c r="Q208" s="33"/>
      <c r="R208" s="28" t="b">
        <f t="shared" si="6"/>
        <v>0</v>
      </c>
      <c r="S208" s="28" t="b">
        <f t="shared" si="7"/>
        <v>0</v>
      </c>
    </row>
    <row r="209" spans="16:19" x14ac:dyDescent="0.2">
      <c r="P209" s="32"/>
      <c r="Q209" s="33"/>
      <c r="R209" s="28" t="b">
        <f t="shared" si="6"/>
        <v>0</v>
      </c>
      <c r="S209" s="28" t="b">
        <f t="shared" si="7"/>
        <v>0</v>
      </c>
    </row>
    <row r="210" spans="16:19" x14ac:dyDescent="0.2">
      <c r="P210" s="32"/>
      <c r="Q210" s="33"/>
      <c r="R210" s="28" t="b">
        <f t="shared" si="6"/>
        <v>0</v>
      </c>
      <c r="S210" s="28" t="b">
        <f t="shared" si="7"/>
        <v>0</v>
      </c>
    </row>
    <row r="211" spans="16:19" x14ac:dyDescent="0.2">
      <c r="P211" s="32"/>
      <c r="Q211" s="33"/>
      <c r="R211" s="28" t="b">
        <f t="shared" si="6"/>
        <v>0</v>
      </c>
      <c r="S211" s="28" t="b">
        <f t="shared" si="7"/>
        <v>0</v>
      </c>
    </row>
    <row r="212" spans="16:19" x14ac:dyDescent="0.2">
      <c r="P212" s="32"/>
      <c r="Q212" s="33"/>
      <c r="R212" s="28" t="b">
        <f t="shared" si="6"/>
        <v>0</v>
      </c>
      <c r="S212" s="28" t="b">
        <f t="shared" si="7"/>
        <v>0</v>
      </c>
    </row>
    <row r="213" spans="16:19" x14ac:dyDescent="0.2">
      <c r="P213" s="32"/>
      <c r="Q213" s="33"/>
      <c r="R213" s="28" t="b">
        <f t="shared" si="6"/>
        <v>0</v>
      </c>
      <c r="S213" s="28" t="b">
        <f t="shared" si="7"/>
        <v>0</v>
      </c>
    </row>
    <row r="214" spans="16:19" x14ac:dyDescent="0.2">
      <c r="P214" s="32"/>
      <c r="Q214" s="33"/>
      <c r="R214" s="28" t="b">
        <f t="shared" si="6"/>
        <v>0</v>
      </c>
      <c r="S214" s="28" t="b">
        <f t="shared" si="7"/>
        <v>0</v>
      </c>
    </row>
    <row r="215" spans="16:19" x14ac:dyDescent="0.2">
      <c r="P215" s="32"/>
      <c r="Q215" s="33"/>
      <c r="R215" s="28" t="b">
        <f t="shared" si="6"/>
        <v>0</v>
      </c>
      <c r="S215" s="28" t="b">
        <f t="shared" si="7"/>
        <v>0</v>
      </c>
    </row>
    <row r="216" spans="16:19" x14ac:dyDescent="0.2">
      <c r="P216" s="32"/>
      <c r="Q216" s="33"/>
      <c r="R216" s="28" t="b">
        <f t="shared" si="6"/>
        <v>0</v>
      </c>
      <c r="S216" s="28" t="b">
        <f t="shared" si="7"/>
        <v>0</v>
      </c>
    </row>
    <row r="217" spans="16:19" x14ac:dyDescent="0.2">
      <c r="P217" s="32"/>
      <c r="Q217" s="33"/>
      <c r="R217" s="28" t="b">
        <f t="shared" si="6"/>
        <v>0</v>
      </c>
      <c r="S217" s="28" t="b">
        <f t="shared" si="7"/>
        <v>0</v>
      </c>
    </row>
    <row r="218" spans="16:19" x14ac:dyDescent="0.2">
      <c r="P218" s="32"/>
      <c r="Q218" s="33"/>
      <c r="R218" s="28" t="b">
        <f t="shared" si="6"/>
        <v>0</v>
      </c>
      <c r="S218" s="28" t="b">
        <f t="shared" si="7"/>
        <v>0</v>
      </c>
    </row>
    <row r="219" spans="16:19" x14ac:dyDescent="0.2">
      <c r="P219" s="32"/>
      <c r="Q219" s="33"/>
      <c r="R219" s="28" t="b">
        <f t="shared" si="6"/>
        <v>0</v>
      </c>
      <c r="S219" s="28" t="b">
        <f t="shared" si="7"/>
        <v>0</v>
      </c>
    </row>
    <row r="220" spans="16:19" x14ac:dyDescent="0.2">
      <c r="P220" s="32"/>
      <c r="Q220" s="33"/>
      <c r="R220" s="28" t="b">
        <f t="shared" si="6"/>
        <v>0</v>
      </c>
      <c r="S220" s="28" t="b">
        <f t="shared" si="7"/>
        <v>0</v>
      </c>
    </row>
    <row r="221" spans="16:19" x14ac:dyDescent="0.2">
      <c r="P221" s="32"/>
      <c r="Q221" s="33"/>
      <c r="R221" s="28" t="b">
        <f t="shared" si="6"/>
        <v>0</v>
      </c>
      <c r="S221" s="28" t="b">
        <f t="shared" si="7"/>
        <v>0</v>
      </c>
    </row>
    <row r="222" spans="16:19" x14ac:dyDescent="0.2">
      <c r="P222" s="32"/>
      <c r="Q222" s="33"/>
      <c r="R222" s="28" t="b">
        <f t="shared" si="6"/>
        <v>0</v>
      </c>
      <c r="S222" s="28" t="b">
        <f t="shared" si="7"/>
        <v>0</v>
      </c>
    </row>
    <row r="223" spans="16:19" x14ac:dyDescent="0.2">
      <c r="P223" s="32"/>
      <c r="Q223" s="33"/>
      <c r="R223" s="28" t="b">
        <f t="shared" si="6"/>
        <v>0</v>
      </c>
      <c r="S223" s="28" t="b">
        <f t="shared" si="7"/>
        <v>0</v>
      </c>
    </row>
    <row r="224" spans="16:19" x14ac:dyDescent="0.2">
      <c r="P224" s="32"/>
      <c r="Q224" s="33"/>
      <c r="R224" s="28" t="b">
        <f t="shared" si="6"/>
        <v>0</v>
      </c>
      <c r="S224" s="28" t="b">
        <f t="shared" si="7"/>
        <v>0</v>
      </c>
    </row>
    <row r="225" spans="16:19" x14ac:dyDescent="0.2">
      <c r="P225" s="32"/>
      <c r="Q225" s="33"/>
      <c r="R225" s="28" t="b">
        <f t="shared" si="6"/>
        <v>0</v>
      </c>
      <c r="S225" s="28" t="b">
        <f t="shared" si="7"/>
        <v>0</v>
      </c>
    </row>
    <row r="226" spans="16:19" x14ac:dyDescent="0.2">
      <c r="P226" s="32"/>
      <c r="Q226" s="33"/>
      <c r="R226" s="28" t="b">
        <f t="shared" si="6"/>
        <v>0</v>
      </c>
      <c r="S226" s="28" t="b">
        <f t="shared" si="7"/>
        <v>0</v>
      </c>
    </row>
    <row r="227" spans="16:19" x14ac:dyDescent="0.2">
      <c r="P227" s="32"/>
      <c r="Q227" s="33"/>
      <c r="R227" s="28" t="b">
        <f t="shared" si="6"/>
        <v>0</v>
      </c>
      <c r="S227" s="28" t="b">
        <f t="shared" si="7"/>
        <v>0</v>
      </c>
    </row>
    <row r="228" spans="16:19" x14ac:dyDescent="0.2">
      <c r="P228" s="32"/>
      <c r="Q228" s="33"/>
      <c r="R228" s="28" t="b">
        <f t="shared" si="6"/>
        <v>0</v>
      </c>
      <c r="S228" s="28" t="b">
        <f t="shared" si="7"/>
        <v>0</v>
      </c>
    </row>
    <row r="229" spans="16:19" x14ac:dyDescent="0.2">
      <c r="P229" s="32"/>
      <c r="Q229" s="33"/>
      <c r="R229" s="28" t="b">
        <f t="shared" si="6"/>
        <v>0</v>
      </c>
      <c r="S229" s="28" t="b">
        <f t="shared" si="7"/>
        <v>0</v>
      </c>
    </row>
    <row r="230" spans="16:19" x14ac:dyDescent="0.2">
      <c r="P230" s="32"/>
      <c r="Q230" s="33"/>
      <c r="R230" s="28" t="b">
        <f t="shared" si="6"/>
        <v>0</v>
      </c>
      <c r="S230" s="28" t="b">
        <f t="shared" si="7"/>
        <v>0</v>
      </c>
    </row>
    <row r="231" spans="16:19" x14ac:dyDescent="0.2">
      <c r="P231" s="32"/>
      <c r="Q231" s="33"/>
      <c r="R231" s="28" t="b">
        <f t="shared" si="6"/>
        <v>0</v>
      </c>
      <c r="S231" s="28" t="b">
        <f t="shared" si="7"/>
        <v>0</v>
      </c>
    </row>
    <row r="232" spans="16:19" x14ac:dyDescent="0.2">
      <c r="P232" s="32"/>
      <c r="Q232" s="33"/>
      <c r="R232" s="28" t="b">
        <f t="shared" si="6"/>
        <v>0</v>
      </c>
      <c r="S232" s="28" t="b">
        <f t="shared" si="7"/>
        <v>0</v>
      </c>
    </row>
    <row r="233" spans="16:19" x14ac:dyDescent="0.2">
      <c r="P233" s="32"/>
      <c r="Q233" s="33"/>
      <c r="R233" s="28" t="b">
        <f t="shared" si="6"/>
        <v>0</v>
      </c>
      <c r="S233" s="28" t="b">
        <f t="shared" si="7"/>
        <v>0</v>
      </c>
    </row>
    <row r="234" spans="16:19" x14ac:dyDescent="0.2">
      <c r="P234" s="32"/>
      <c r="Q234" s="33"/>
      <c r="R234" s="28" t="b">
        <f t="shared" si="6"/>
        <v>0</v>
      </c>
      <c r="S234" s="28" t="b">
        <f t="shared" si="7"/>
        <v>0</v>
      </c>
    </row>
    <row r="235" spans="16:19" x14ac:dyDescent="0.2">
      <c r="P235" s="32"/>
      <c r="Q235" s="33"/>
      <c r="R235" s="28" t="b">
        <f t="shared" si="6"/>
        <v>0</v>
      </c>
      <c r="S235" s="28" t="b">
        <f t="shared" si="7"/>
        <v>0</v>
      </c>
    </row>
    <row r="236" spans="16:19" x14ac:dyDescent="0.2">
      <c r="P236" s="32"/>
      <c r="Q236" s="33"/>
      <c r="R236" s="28" t="b">
        <f t="shared" si="6"/>
        <v>0</v>
      </c>
      <c r="S236" s="28" t="b">
        <f t="shared" si="7"/>
        <v>0</v>
      </c>
    </row>
    <row r="237" spans="16:19" x14ac:dyDescent="0.2">
      <c r="P237" s="32"/>
      <c r="Q237" s="33"/>
      <c r="R237" s="28" t="b">
        <f t="shared" si="6"/>
        <v>0</v>
      </c>
      <c r="S237" s="28" t="b">
        <f t="shared" si="7"/>
        <v>0</v>
      </c>
    </row>
    <row r="238" spans="16:19" x14ac:dyDescent="0.2">
      <c r="P238" s="32"/>
      <c r="Q238" s="33"/>
      <c r="R238" s="28" t="b">
        <f t="shared" si="6"/>
        <v>0</v>
      </c>
      <c r="S238" s="28" t="b">
        <f t="shared" si="7"/>
        <v>0</v>
      </c>
    </row>
    <row r="239" spans="16:19" x14ac:dyDescent="0.2">
      <c r="P239" s="32"/>
      <c r="Q239" s="33"/>
      <c r="R239" s="28" t="b">
        <f t="shared" si="6"/>
        <v>0</v>
      </c>
      <c r="S239" s="28" t="b">
        <f t="shared" si="7"/>
        <v>0</v>
      </c>
    </row>
    <row r="240" spans="16:19" x14ac:dyDescent="0.2">
      <c r="P240" s="32"/>
      <c r="Q240" s="33"/>
      <c r="R240" s="28" t="b">
        <f t="shared" si="6"/>
        <v>0</v>
      </c>
      <c r="S240" s="28" t="b">
        <f t="shared" si="7"/>
        <v>0</v>
      </c>
    </row>
    <row r="241" spans="16:19" x14ac:dyDescent="0.2">
      <c r="P241" s="32"/>
      <c r="Q241" s="33"/>
      <c r="R241" s="28" t="b">
        <f t="shared" si="6"/>
        <v>0</v>
      </c>
      <c r="S241" s="28" t="b">
        <f t="shared" si="7"/>
        <v>0</v>
      </c>
    </row>
    <row r="242" spans="16:19" x14ac:dyDescent="0.2">
      <c r="P242" s="32"/>
      <c r="Q242" s="33"/>
      <c r="R242" s="28" t="b">
        <f t="shared" si="6"/>
        <v>0</v>
      </c>
      <c r="S242" s="28" t="b">
        <f t="shared" si="7"/>
        <v>0</v>
      </c>
    </row>
    <row r="243" spans="16:19" x14ac:dyDescent="0.2">
      <c r="P243" s="32"/>
      <c r="Q243" s="33"/>
      <c r="R243" s="28" t="b">
        <f t="shared" si="6"/>
        <v>0</v>
      </c>
      <c r="S243" s="28" t="b">
        <f t="shared" si="7"/>
        <v>0</v>
      </c>
    </row>
    <row r="244" spans="16:19" x14ac:dyDescent="0.2">
      <c r="P244" s="32"/>
      <c r="Q244" s="33"/>
      <c r="R244" s="28" t="b">
        <f t="shared" si="6"/>
        <v>0</v>
      </c>
      <c r="S244" s="28" t="b">
        <f t="shared" si="7"/>
        <v>0</v>
      </c>
    </row>
    <row r="245" spans="16:19" x14ac:dyDescent="0.2">
      <c r="P245" s="32"/>
      <c r="Q245" s="33"/>
      <c r="R245" s="28" t="b">
        <f t="shared" si="6"/>
        <v>0</v>
      </c>
      <c r="S245" s="28" t="b">
        <f t="shared" si="7"/>
        <v>0</v>
      </c>
    </row>
    <row r="246" spans="16:19" x14ac:dyDescent="0.2">
      <c r="P246" s="32"/>
      <c r="Q246" s="33"/>
      <c r="R246" s="28" t="b">
        <f t="shared" si="6"/>
        <v>0</v>
      </c>
      <c r="S246" s="28" t="b">
        <f t="shared" si="7"/>
        <v>0</v>
      </c>
    </row>
    <row r="247" spans="16:19" x14ac:dyDescent="0.2">
      <c r="P247" s="32"/>
      <c r="Q247" s="33"/>
      <c r="R247" s="28" t="b">
        <f t="shared" si="6"/>
        <v>0</v>
      </c>
      <c r="S247" s="28" t="b">
        <f t="shared" si="7"/>
        <v>0</v>
      </c>
    </row>
    <row r="248" spans="16:19" x14ac:dyDescent="0.2">
      <c r="P248" s="32"/>
      <c r="Q248" s="33"/>
      <c r="R248" s="28" t="b">
        <f t="shared" si="6"/>
        <v>0</v>
      </c>
      <c r="S248" s="28" t="b">
        <f t="shared" si="7"/>
        <v>0</v>
      </c>
    </row>
    <row r="249" spans="16:19" x14ac:dyDescent="0.2">
      <c r="P249" s="32"/>
      <c r="Q249" s="33"/>
      <c r="R249" s="28" t="b">
        <f t="shared" si="6"/>
        <v>0</v>
      </c>
      <c r="S249" s="28" t="b">
        <f t="shared" si="7"/>
        <v>0</v>
      </c>
    </row>
    <row r="250" spans="16:19" x14ac:dyDescent="0.2">
      <c r="P250" s="32"/>
      <c r="Q250" s="33"/>
      <c r="R250" s="28" t="b">
        <f t="shared" si="6"/>
        <v>0</v>
      </c>
      <c r="S250" s="28" t="b">
        <f t="shared" si="7"/>
        <v>0</v>
      </c>
    </row>
    <row r="251" spans="16:19" x14ac:dyDescent="0.2">
      <c r="P251" s="32"/>
      <c r="Q251" s="33"/>
      <c r="R251" s="28" t="b">
        <f t="shared" si="6"/>
        <v>0</v>
      </c>
      <c r="S251" s="28" t="b">
        <f t="shared" si="7"/>
        <v>0</v>
      </c>
    </row>
    <row r="252" spans="16:19" x14ac:dyDescent="0.2">
      <c r="P252" s="32"/>
      <c r="Q252" s="33"/>
      <c r="R252" s="28" t="b">
        <f t="shared" si="6"/>
        <v>0</v>
      </c>
      <c r="S252" s="28" t="b">
        <f t="shared" si="7"/>
        <v>0</v>
      </c>
    </row>
  </sheetData>
  <sheetProtection sheet="1" objects="1" scenarios="1" selectLockedCells="1"/>
  <mergeCells count="12">
    <mergeCell ref="A38:C38"/>
    <mergeCell ref="A1:B2"/>
    <mergeCell ref="C1:C2"/>
    <mergeCell ref="E1:G1"/>
    <mergeCell ref="B3:C3"/>
    <mergeCell ref="B4:C4"/>
    <mergeCell ref="A8:C8"/>
    <mergeCell ref="A15:C15"/>
    <mergeCell ref="A20:C20"/>
    <mergeCell ref="E26:G26"/>
    <mergeCell ref="A31:C31"/>
    <mergeCell ref="A34:C34"/>
  </mergeCells>
  <pageMargins left="0.39370078740157483" right="0.39370078740157483" top="0.82677165354330717" bottom="0.31496062992125984" header="0.19685039370078741" footer="0.11811023622047245"/>
  <pageSetup paperSize="9" scale="61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2"/>
  <sheetViews>
    <sheetView zoomScale="75" workbookViewId="0">
      <selection activeCell="P55" sqref="P55"/>
    </sheetView>
  </sheetViews>
  <sheetFormatPr baseColWidth="10" defaultColWidth="11.5703125" defaultRowHeight="12.75" x14ac:dyDescent="0.2"/>
  <cols>
    <col min="1" max="1" width="25.7109375" style="1" customWidth="1"/>
    <col min="2" max="2" width="14.5703125" style="1" customWidth="1"/>
    <col min="3" max="3" width="21.28515625" style="1" customWidth="1"/>
    <col min="4" max="4" width="5.42578125" style="1" customWidth="1"/>
    <col min="5" max="5" width="11.5703125" style="1"/>
    <col min="6" max="6" width="17.5703125" style="1" customWidth="1"/>
    <col min="7" max="7" width="12.42578125" style="1" bestFit="1" customWidth="1"/>
    <col min="8" max="8" width="17.85546875" style="1" customWidth="1"/>
    <col min="9" max="9" width="11.5703125" style="1"/>
    <col min="10" max="10" width="15.140625" style="1" customWidth="1"/>
    <col min="11" max="11" width="12.42578125" style="1" bestFit="1" customWidth="1"/>
    <col min="12" max="12" width="14.42578125" style="1" customWidth="1"/>
    <col min="13" max="13" width="12.42578125" style="1" customWidth="1"/>
    <col min="14" max="14" width="14.7109375" style="1" customWidth="1"/>
    <col min="15" max="15" width="23.28515625" style="1" customWidth="1"/>
    <col min="16" max="16" width="12" style="1" customWidth="1"/>
    <col min="17" max="17" width="15.28515625" style="1" bestFit="1" customWidth="1"/>
    <col min="18" max="16384" width="11.5703125" style="1"/>
  </cols>
  <sheetData>
    <row r="1" spans="1:21" ht="15" customHeight="1" x14ac:dyDescent="0.25">
      <c r="A1" s="149" t="s">
        <v>151</v>
      </c>
      <c r="B1" s="149"/>
      <c r="C1" s="165" t="s">
        <v>149</v>
      </c>
      <c r="D1" s="19"/>
      <c r="E1" s="144" t="s">
        <v>91</v>
      </c>
      <c r="F1" s="144"/>
      <c r="G1" s="144"/>
      <c r="H1" s="19"/>
      <c r="I1" s="19"/>
      <c r="J1" s="19"/>
      <c r="K1" s="19"/>
      <c r="L1" s="19"/>
      <c r="M1" s="19"/>
      <c r="N1" s="35"/>
      <c r="O1" s="19"/>
    </row>
    <row r="2" spans="1:21" ht="15" customHeight="1" x14ac:dyDescent="0.2">
      <c r="A2" s="149"/>
      <c r="B2" s="149"/>
      <c r="C2" s="165"/>
      <c r="D2" s="19"/>
      <c r="E2" s="19"/>
      <c r="F2" s="19"/>
      <c r="G2" s="19"/>
      <c r="H2" s="19"/>
      <c r="I2" s="19"/>
      <c r="J2" s="19"/>
      <c r="K2" s="19"/>
      <c r="L2" s="19"/>
      <c r="M2" s="19"/>
      <c r="N2" s="35"/>
      <c r="O2" s="19"/>
      <c r="P2" s="121" t="s">
        <v>0</v>
      </c>
      <c r="Q2" s="121" t="s">
        <v>34</v>
      </c>
      <c r="R2" s="122" t="s">
        <v>57</v>
      </c>
      <c r="S2" s="122" t="s">
        <v>58</v>
      </c>
    </row>
    <row r="3" spans="1:21" ht="15" customHeight="1" x14ac:dyDescent="0.2">
      <c r="A3" s="118" t="s">
        <v>101</v>
      </c>
      <c r="B3" s="168" t="str">
        <f>pH!B3</f>
        <v>Deponie Gruselsumpf</v>
      </c>
      <c r="C3" s="168"/>
      <c r="D3" s="19"/>
      <c r="E3" s="19"/>
      <c r="F3" s="19"/>
      <c r="G3" s="19"/>
      <c r="H3" s="36"/>
      <c r="I3" s="19"/>
      <c r="J3" s="19"/>
      <c r="K3" s="19"/>
      <c r="L3" s="19"/>
      <c r="M3" s="19"/>
      <c r="N3" s="19"/>
      <c r="O3" s="19"/>
      <c r="P3" s="32"/>
      <c r="Q3" s="33"/>
      <c r="R3" s="28" t="b">
        <f>IF($P3&gt;0,$B$17+$B$18*$P3)</f>
        <v>0</v>
      </c>
      <c r="S3" s="28" t="b">
        <f>IF($P3&gt;0,$Q3-$R3)</f>
        <v>0</v>
      </c>
    </row>
    <row r="4" spans="1:21" ht="15" customHeight="1" x14ac:dyDescent="0.2">
      <c r="A4" s="118" t="s">
        <v>102</v>
      </c>
      <c r="B4" s="166" t="str">
        <f>pH!B4</f>
        <v>WG9999</v>
      </c>
      <c r="C4" s="16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48"/>
      <c r="Q4" s="49"/>
      <c r="R4" s="28" t="b">
        <f t="shared" ref="R4:R67" si="0">IF($P4&gt;0,$B$17+$B$18*$P4)</f>
        <v>0</v>
      </c>
      <c r="S4" s="28" t="b">
        <f t="shared" ref="S4:S67" si="1">IF($P4&gt;0,$Q4-$R4)</f>
        <v>0</v>
      </c>
    </row>
    <row r="5" spans="1:21" ht="15" customHeight="1" x14ac:dyDescent="0.2">
      <c r="A5" s="131" t="s">
        <v>103</v>
      </c>
      <c r="B5" s="29" t="s">
        <v>100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32"/>
      <c r="Q5" s="33"/>
      <c r="R5" s="28" t="b">
        <f t="shared" si="0"/>
        <v>0</v>
      </c>
      <c r="S5" s="28" t="b">
        <f t="shared" si="1"/>
        <v>0</v>
      </c>
    </row>
    <row r="6" spans="1:21" ht="15" customHeight="1" x14ac:dyDescent="0.2">
      <c r="A6" s="131" t="s">
        <v>18</v>
      </c>
      <c r="B6" s="34">
        <v>0.75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32"/>
      <c r="Q6" s="33"/>
      <c r="R6" s="28" t="b">
        <f t="shared" si="0"/>
        <v>0</v>
      </c>
      <c r="S6" s="28" t="b">
        <f t="shared" si="1"/>
        <v>0</v>
      </c>
    </row>
    <row r="7" spans="1:21" ht="15" customHeight="1" x14ac:dyDescent="0.2">
      <c r="A7" s="26"/>
      <c r="B7" s="19"/>
      <c r="C7" s="19"/>
      <c r="D7" s="19"/>
      <c r="E7" s="19"/>
      <c r="F7" s="19"/>
      <c r="G7" s="36"/>
      <c r="H7" s="19"/>
      <c r="I7" s="19"/>
      <c r="J7" s="19"/>
      <c r="K7" s="19"/>
      <c r="L7" s="19"/>
      <c r="M7" s="19"/>
      <c r="N7" s="19"/>
      <c r="O7" s="19"/>
      <c r="P7" s="32"/>
      <c r="Q7" s="33"/>
      <c r="R7" s="28" t="b">
        <f t="shared" si="0"/>
        <v>0</v>
      </c>
      <c r="S7" s="28" t="b">
        <f t="shared" si="1"/>
        <v>0</v>
      </c>
    </row>
    <row r="8" spans="1:21" ht="15" customHeight="1" x14ac:dyDescent="0.25">
      <c r="A8" s="140" t="s">
        <v>12</v>
      </c>
      <c r="B8" s="140"/>
      <c r="C8" s="140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32"/>
      <c r="Q8" s="33"/>
      <c r="R8" s="28" t="b">
        <f t="shared" si="0"/>
        <v>0</v>
      </c>
      <c r="S8" s="28" t="b">
        <f t="shared" si="1"/>
        <v>0</v>
      </c>
    </row>
    <row r="9" spans="1:21" ht="15" customHeight="1" x14ac:dyDescent="0.2">
      <c r="A9" s="118" t="s">
        <v>11</v>
      </c>
      <c r="B9" s="20">
        <f>COUNT($Q3:$Q252)</f>
        <v>0</v>
      </c>
      <c r="C9" s="5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32"/>
      <c r="Q9" s="33"/>
      <c r="R9" s="28" t="b">
        <f t="shared" si="0"/>
        <v>0</v>
      </c>
      <c r="S9" s="28" t="b">
        <f t="shared" si="1"/>
        <v>0</v>
      </c>
    </row>
    <row r="10" spans="1:21" ht="15" customHeight="1" x14ac:dyDescent="0.2">
      <c r="A10" s="118" t="s">
        <v>7</v>
      </c>
      <c r="B10" s="21">
        <f>MIN($Q3:$Q252)</f>
        <v>0</v>
      </c>
      <c r="C10" s="50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32"/>
      <c r="Q10" s="33"/>
      <c r="R10" s="28" t="b">
        <f t="shared" si="0"/>
        <v>0</v>
      </c>
      <c r="S10" s="28" t="b">
        <f t="shared" si="1"/>
        <v>0</v>
      </c>
    </row>
    <row r="11" spans="1:21" ht="15" customHeight="1" x14ac:dyDescent="0.2">
      <c r="A11" s="118" t="s">
        <v>8</v>
      </c>
      <c r="B11" s="21">
        <f>MAX($Q3:$Q252)</f>
        <v>0</v>
      </c>
      <c r="C11" s="50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32"/>
      <c r="Q11" s="33"/>
      <c r="R11" s="28" t="b">
        <f t="shared" si="0"/>
        <v>0</v>
      </c>
      <c r="S11" s="28" t="b">
        <f t="shared" si="1"/>
        <v>0</v>
      </c>
      <c r="U11" s="3"/>
    </row>
    <row r="12" spans="1:21" ht="15" customHeight="1" x14ac:dyDescent="0.2">
      <c r="A12" s="118" t="s">
        <v>68</v>
      </c>
      <c r="B12" s="21" t="e">
        <f>MEDIAN($Q3:$Q252)</f>
        <v>#NUM!</v>
      </c>
      <c r="C12" s="5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32"/>
      <c r="Q12" s="33"/>
      <c r="R12" s="28" t="b">
        <f t="shared" si="0"/>
        <v>0</v>
      </c>
      <c r="S12" s="28" t="b">
        <f t="shared" si="1"/>
        <v>0</v>
      </c>
    </row>
    <row r="13" spans="1:21" ht="15" customHeight="1" x14ac:dyDescent="0.2">
      <c r="A13" s="118" t="s">
        <v>69</v>
      </c>
      <c r="B13" s="20" t="e">
        <f>IF(ABS($B$16)&gt;$J$58,"&gt; 99%",IF(ABS($B$16)&gt;$I$58,"&gt; 95%","nicht signifikant"))</f>
        <v>#DIV/0!</v>
      </c>
      <c r="C13" s="50"/>
      <c r="D13" s="19"/>
      <c r="E13" s="19"/>
      <c r="F13" s="19"/>
      <c r="G13" s="19"/>
      <c r="H13" s="19"/>
      <c r="I13" s="19"/>
      <c r="J13" s="36"/>
      <c r="K13" s="19"/>
      <c r="L13" s="19"/>
      <c r="M13" s="19"/>
      <c r="N13" s="19"/>
      <c r="O13" s="19"/>
      <c r="P13" s="32"/>
      <c r="Q13" s="33"/>
      <c r="R13" s="28" t="b">
        <f t="shared" si="0"/>
        <v>0</v>
      </c>
      <c r="S13" s="28" t="b">
        <f t="shared" si="1"/>
        <v>0</v>
      </c>
    </row>
    <row r="14" spans="1:21" ht="15" customHeight="1" x14ac:dyDescent="0.2">
      <c r="A14" s="26"/>
      <c r="B14" s="26"/>
      <c r="C14" s="26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32"/>
      <c r="Q14" s="33"/>
      <c r="R14" s="28" t="b">
        <f t="shared" si="0"/>
        <v>0</v>
      </c>
      <c r="S14" s="28" t="b">
        <f t="shared" si="1"/>
        <v>0</v>
      </c>
    </row>
    <row r="15" spans="1:21" ht="15" customHeight="1" x14ac:dyDescent="0.25">
      <c r="A15" s="140" t="s">
        <v>42</v>
      </c>
      <c r="B15" s="140"/>
      <c r="C15" s="14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32"/>
      <c r="Q15" s="33"/>
      <c r="R15" s="28" t="b">
        <f t="shared" si="0"/>
        <v>0</v>
      </c>
      <c r="S15" s="28" t="b">
        <f t="shared" si="1"/>
        <v>0</v>
      </c>
    </row>
    <row r="16" spans="1:21" ht="15" customHeight="1" x14ac:dyDescent="0.2">
      <c r="A16" s="119" t="s">
        <v>83</v>
      </c>
      <c r="B16" s="22" t="e">
        <f>CORREL($Q$3:$Q$252,$P$3:$P$252)</f>
        <v>#DIV/0!</v>
      </c>
      <c r="C16" s="5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32"/>
      <c r="Q16" s="33"/>
      <c r="R16" s="28" t="b">
        <f t="shared" si="0"/>
        <v>0</v>
      </c>
      <c r="S16" s="28" t="b">
        <f t="shared" si="1"/>
        <v>0</v>
      </c>
    </row>
    <row r="17" spans="1:19" ht="15" customHeight="1" x14ac:dyDescent="0.2">
      <c r="A17" s="119" t="s">
        <v>84</v>
      </c>
      <c r="B17" s="22" t="e">
        <f>INTERCEPT($Q$3:$Q$252,$P$3:$P$252)</f>
        <v>#DIV/0!</v>
      </c>
      <c r="C17" s="5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32"/>
      <c r="Q17" s="33"/>
      <c r="R17" s="28" t="b">
        <f t="shared" si="0"/>
        <v>0</v>
      </c>
      <c r="S17" s="28" t="b">
        <f t="shared" si="1"/>
        <v>0</v>
      </c>
    </row>
    <row r="18" spans="1:19" ht="15" customHeight="1" x14ac:dyDescent="0.2">
      <c r="A18" s="119" t="s">
        <v>39</v>
      </c>
      <c r="B18" s="22" t="e">
        <f>SLOPE($Q$3:$Q$252,$P$3:$P$252)</f>
        <v>#DIV/0!</v>
      </c>
      <c r="C18" s="50"/>
      <c r="D18" s="19"/>
      <c r="E18" s="19"/>
      <c r="F18" s="19"/>
      <c r="G18" s="19"/>
      <c r="H18" s="19"/>
      <c r="I18" s="19"/>
      <c r="J18" s="37"/>
      <c r="K18" s="19"/>
      <c r="L18" s="19"/>
      <c r="M18" s="19"/>
      <c r="N18" s="19"/>
      <c r="O18" s="19"/>
      <c r="P18" s="32"/>
      <c r="Q18" s="33"/>
      <c r="R18" s="28" t="b">
        <f t="shared" si="0"/>
        <v>0</v>
      </c>
      <c r="S18" s="28" t="b">
        <f t="shared" si="1"/>
        <v>0</v>
      </c>
    </row>
    <row r="19" spans="1:19" ht="15" customHeight="1" x14ac:dyDescent="0.2">
      <c r="A19" s="26"/>
      <c r="B19" s="26"/>
      <c r="C19" s="26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32"/>
      <c r="Q19" s="33"/>
      <c r="R19" s="28" t="b">
        <f t="shared" si="0"/>
        <v>0</v>
      </c>
      <c r="S19" s="28" t="b">
        <f t="shared" si="1"/>
        <v>0</v>
      </c>
    </row>
    <row r="20" spans="1:19" ht="15" customHeight="1" x14ac:dyDescent="0.25">
      <c r="A20" s="140" t="s">
        <v>63</v>
      </c>
      <c r="B20" s="140"/>
      <c r="C20" s="140"/>
      <c r="D20" s="19"/>
      <c r="E20" s="19"/>
      <c r="F20" s="19"/>
      <c r="G20" s="19"/>
      <c r="H20" s="19"/>
      <c r="I20" s="35"/>
      <c r="J20" s="19"/>
      <c r="K20" s="38"/>
      <c r="L20" s="19"/>
      <c r="M20" s="19"/>
      <c r="N20" s="19"/>
      <c r="O20" s="19"/>
      <c r="P20" s="32"/>
      <c r="Q20" s="33"/>
      <c r="R20" s="28" t="b">
        <f t="shared" si="0"/>
        <v>0</v>
      </c>
      <c r="S20" s="28" t="b">
        <f t="shared" si="1"/>
        <v>0</v>
      </c>
    </row>
    <row r="21" spans="1:19" ht="15" customHeight="1" x14ac:dyDescent="0.2">
      <c r="A21" s="118" t="s">
        <v>7</v>
      </c>
      <c r="B21" s="21">
        <f>MIN($S$3:$S$252)</f>
        <v>0</v>
      </c>
      <c r="C21" s="5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32"/>
      <c r="Q21" s="33"/>
      <c r="R21" s="28" t="b">
        <f t="shared" si="0"/>
        <v>0</v>
      </c>
      <c r="S21" s="28" t="b">
        <f t="shared" si="1"/>
        <v>0</v>
      </c>
    </row>
    <row r="22" spans="1:19" ht="15" customHeight="1" x14ac:dyDescent="0.2">
      <c r="A22" s="118" t="s">
        <v>8</v>
      </c>
      <c r="B22" s="21">
        <f>MAX($S$3:$S$252)</f>
        <v>0</v>
      </c>
      <c r="C22" s="5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32"/>
      <c r="Q22" s="33"/>
      <c r="R22" s="28" t="b">
        <f t="shared" si="0"/>
        <v>0</v>
      </c>
      <c r="S22" s="28" t="b">
        <f t="shared" si="1"/>
        <v>0</v>
      </c>
    </row>
    <row r="23" spans="1:19" ht="15" customHeight="1" x14ac:dyDescent="0.2">
      <c r="A23" s="118" t="s">
        <v>68</v>
      </c>
      <c r="B23" s="21" t="e">
        <f>MEDIAN($S$3:$S$252)</f>
        <v>#NUM!</v>
      </c>
      <c r="C23" s="5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32"/>
      <c r="Q23" s="33"/>
      <c r="R23" s="28" t="b">
        <f t="shared" si="0"/>
        <v>0</v>
      </c>
      <c r="S23" s="28" t="b">
        <f t="shared" si="1"/>
        <v>0</v>
      </c>
    </row>
    <row r="24" spans="1:19" ht="15" customHeight="1" x14ac:dyDescent="0.2">
      <c r="A24" s="118" t="s">
        <v>73</v>
      </c>
      <c r="B24" s="21" t="e">
        <f>AVERAGE($S$3:$S$252)</f>
        <v>#DIV/0!</v>
      </c>
      <c r="C24" s="5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2"/>
      <c r="Q24" s="33"/>
      <c r="R24" s="28" t="b">
        <f t="shared" si="0"/>
        <v>0</v>
      </c>
      <c r="S24" s="28" t="b">
        <f t="shared" si="1"/>
        <v>0</v>
      </c>
    </row>
    <row r="25" spans="1:19" ht="15" customHeight="1" x14ac:dyDescent="0.2">
      <c r="A25" s="118" t="s">
        <v>75</v>
      </c>
      <c r="B25" s="23" t="e">
        <f>STDEV($S$3:$S$252)</f>
        <v>#DIV/0!</v>
      </c>
      <c r="C25" s="5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32"/>
      <c r="Q25" s="33"/>
      <c r="R25" s="28" t="b">
        <f t="shared" si="0"/>
        <v>0</v>
      </c>
      <c r="S25" s="28" t="b">
        <f t="shared" si="1"/>
        <v>0</v>
      </c>
    </row>
    <row r="26" spans="1:19" ht="15" customHeight="1" x14ac:dyDescent="0.25">
      <c r="A26" s="118" t="s">
        <v>92</v>
      </c>
      <c r="B26" s="24" t="e">
        <f>((NORMINV(0.83,B24,B25)-B23)-(B23-NORMINV(0.17,B24,B25)))/(NORMINV(0.83,B24,B25)-NORMINV(0.17,B24,B25))</f>
        <v>#DIV/0!</v>
      </c>
      <c r="C26" s="50"/>
      <c r="D26" s="19"/>
      <c r="E26" s="144"/>
      <c r="F26" s="144"/>
      <c r="G26" s="144"/>
      <c r="H26" s="19"/>
      <c r="I26" s="19"/>
      <c r="J26" s="19"/>
      <c r="K26" s="19"/>
      <c r="L26" s="19"/>
      <c r="M26" s="19"/>
      <c r="N26" s="19"/>
      <c r="O26" s="19"/>
      <c r="P26" s="32"/>
      <c r="Q26" s="33"/>
      <c r="R26" s="28" t="b">
        <f t="shared" si="0"/>
        <v>0</v>
      </c>
      <c r="S26" s="28" t="b">
        <f t="shared" si="1"/>
        <v>0</v>
      </c>
    </row>
    <row r="27" spans="1:19" ht="15" customHeight="1" x14ac:dyDescent="0.2">
      <c r="A27" s="118" t="s">
        <v>85</v>
      </c>
      <c r="B27" s="21" t="e">
        <f>NORMINV(0.95,0,B25)</f>
        <v>#DIV/0!</v>
      </c>
      <c r="C27" s="5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32"/>
      <c r="Q27" s="33"/>
      <c r="R27" s="28" t="b">
        <f t="shared" si="0"/>
        <v>0</v>
      </c>
      <c r="S27" s="28" t="b">
        <f t="shared" si="1"/>
        <v>0</v>
      </c>
    </row>
    <row r="28" spans="1:19" ht="15" customHeight="1" x14ac:dyDescent="0.2">
      <c r="A28" s="118" t="s">
        <v>86</v>
      </c>
      <c r="B28" s="21" t="e">
        <f>NORMINV(0.98,0,B25)</f>
        <v>#DIV/0!</v>
      </c>
      <c r="C28" s="5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32"/>
      <c r="Q28" s="33"/>
      <c r="R28" s="28" t="b">
        <f t="shared" si="0"/>
        <v>0</v>
      </c>
      <c r="S28" s="28" t="b">
        <f t="shared" si="1"/>
        <v>0</v>
      </c>
    </row>
    <row r="29" spans="1:19" ht="15" customHeight="1" x14ac:dyDescent="0.2">
      <c r="A29" s="118" t="s">
        <v>44</v>
      </c>
      <c r="B29" s="20" t="e">
        <f>IF(((B22-B21)/B25)&gt;INDEX(XX!B4:'XX'!B150,B9-3),"ja","nein")</f>
        <v>#DIV/0!</v>
      </c>
      <c r="C29" s="5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32"/>
      <c r="Q29" s="33"/>
      <c r="R29" s="28" t="b">
        <f t="shared" si="0"/>
        <v>0</v>
      </c>
      <c r="S29" s="28" t="b">
        <f t="shared" si="1"/>
        <v>0</v>
      </c>
    </row>
    <row r="30" spans="1:19" ht="15" customHeight="1" x14ac:dyDescent="0.2">
      <c r="A30" s="26"/>
      <c r="B30" s="26"/>
      <c r="C30" s="26"/>
      <c r="D30" s="19"/>
      <c r="E30" s="47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32"/>
      <c r="Q30" s="33"/>
      <c r="R30" s="28" t="b">
        <f t="shared" si="0"/>
        <v>0</v>
      </c>
      <c r="S30" s="28" t="b">
        <f t="shared" si="1"/>
        <v>0</v>
      </c>
    </row>
    <row r="31" spans="1:19" ht="15" customHeight="1" x14ac:dyDescent="0.25">
      <c r="A31" s="164" t="s">
        <v>88</v>
      </c>
      <c r="B31" s="164"/>
      <c r="C31" s="164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32"/>
      <c r="Q31" s="33"/>
      <c r="R31" s="28" t="b">
        <f t="shared" si="0"/>
        <v>0</v>
      </c>
      <c r="S31" s="28" t="b">
        <f t="shared" si="1"/>
        <v>0</v>
      </c>
    </row>
    <row r="32" spans="1:19" ht="15" customHeight="1" x14ac:dyDescent="0.2">
      <c r="A32" s="131" t="s">
        <v>89</v>
      </c>
      <c r="B32" s="30">
        <v>600</v>
      </c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32"/>
      <c r="Q32" s="33"/>
      <c r="R32" s="28" t="b">
        <f t="shared" si="0"/>
        <v>0</v>
      </c>
      <c r="S32" s="28" t="b">
        <f t="shared" si="1"/>
        <v>0</v>
      </c>
    </row>
    <row r="33" spans="1:19" ht="15" customHeight="1" x14ac:dyDescent="0.2">
      <c r="A33" s="26"/>
      <c r="B33" s="26"/>
      <c r="C33" s="26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32"/>
      <c r="Q33" s="33"/>
      <c r="R33" s="28" t="b">
        <f t="shared" si="0"/>
        <v>0</v>
      </c>
      <c r="S33" s="28" t="b">
        <f t="shared" si="1"/>
        <v>0</v>
      </c>
    </row>
    <row r="34" spans="1:19" ht="15" customHeight="1" x14ac:dyDescent="0.25">
      <c r="A34" s="140" t="s">
        <v>59</v>
      </c>
      <c r="B34" s="140"/>
      <c r="C34" s="140"/>
      <c r="D34" s="19"/>
      <c r="E34" s="120" t="s">
        <v>60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32"/>
      <c r="Q34" s="33"/>
      <c r="R34" s="28" t="b">
        <f t="shared" si="0"/>
        <v>0</v>
      </c>
      <c r="S34" s="28" t="b">
        <f t="shared" si="1"/>
        <v>0</v>
      </c>
    </row>
    <row r="35" spans="1:19" ht="15" customHeight="1" x14ac:dyDescent="0.2">
      <c r="A35" s="131" t="s">
        <v>87</v>
      </c>
      <c r="B35" s="31">
        <v>38353</v>
      </c>
      <c r="C35" s="31">
        <v>39233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32"/>
      <c r="Q35" s="33"/>
      <c r="R35" s="28" t="b">
        <f t="shared" si="0"/>
        <v>0</v>
      </c>
      <c r="S35" s="28" t="b">
        <f t="shared" si="1"/>
        <v>0</v>
      </c>
    </row>
    <row r="36" spans="1:19" ht="15" customHeight="1" x14ac:dyDescent="0.2">
      <c r="A36" s="118" t="s">
        <v>54</v>
      </c>
      <c r="B36" s="25">
        <f>B35-B32</f>
        <v>37753</v>
      </c>
      <c r="C36" s="25">
        <f>C35-B32</f>
        <v>38633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32"/>
      <c r="Q36" s="33"/>
      <c r="R36" s="28" t="b">
        <f t="shared" si="0"/>
        <v>0</v>
      </c>
      <c r="S36" s="28" t="b">
        <f t="shared" si="1"/>
        <v>0</v>
      </c>
    </row>
    <row r="37" spans="1:19" ht="15" customHeight="1" x14ac:dyDescent="0.2">
      <c r="A37" s="26"/>
      <c r="B37" s="26"/>
      <c r="C37" s="27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32"/>
      <c r="Q37" s="33"/>
      <c r="R37" s="28" t="b">
        <f t="shared" si="0"/>
        <v>0</v>
      </c>
      <c r="S37" s="28" t="b">
        <f t="shared" si="1"/>
        <v>0</v>
      </c>
    </row>
    <row r="38" spans="1:19" ht="15" customHeight="1" x14ac:dyDescent="0.25">
      <c r="A38" s="140" t="s">
        <v>90</v>
      </c>
      <c r="B38" s="140"/>
      <c r="C38" s="140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32"/>
      <c r="Q38" s="33"/>
      <c r="R38" s="28" t="b">
        <f t="shared" si="0"/>
        <v>0</v>
      </c>
      <c r="S38" s="28" t="b">
        <f t="shared" si="1"/>
        <v>0</v>
      </c>
    </row>
    <row r="39" spans="1:19" ht="15" customHeight="1" x14ac:dyDescent="0.2">
      <c r="A39" s="119" t="s">
        <v>67</v>
      </c>
      <c r="B39" s="21" t="e">
        <f>MAX($B$17+$B$18*$B36+$B$28+0.5*$B$6,$B$17+$B$18*$C36+$B$28+0.5*$B$6,$B$6)</f>
        <v>#DIV/0!</v>
      </c>
      <c r="C39" s="50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32"/>
      <c r="Q39" s="33"/>
      <c r="R39" s="28" t="b">
        <f t="shared" si="0"/>
        <v>0</v>
      </c>
      <c r="S39" s="28" t="b">
        <f t="shared" si="1"/>
        <v>0</v>
      </c>
    </row>
    <row r="40" spans="1:19" ht="15" x14ac:dyDescent="0.2">
      <c r="A40" s="119" t="s">
        <v>61</v>
      </c>
      <c r="B40" s="21" t="e">
        <f>INDEX($R$3:$R$252,B9)+$B$28+0.5*$B$6</f>
        <v>#DIV/0!</v>
      </c>
      <c r="C40" s="50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32"/>
      <c r="Q40" s="33"/>
      <c r="R40" s="28" t="b">
        <f t="shared" si="0"/>
        <v>0</v>
      </c>
      <c r="S40" s="28" t="b">
        <f t="shared" si="1"/>
        <v>0</v>
      </c>
    </row>
    <row r="41" spans="1:19" ht="15.75" x14ac:dyDescent="0.25">
      <c r="A41" s="117" t="s">
        <v>81</v>
      </c>
      <c r="B41" s="96" t="e">
        <f>IF($B$18&gt;0,B39,MAX(B40,B39))</f>
        <v>#DIV/0!</v>
      </c>
      <c r="C41" s="51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32"/>
      <c r="Q41" s="33"/>
      <c r="R41" s="28" t="b">
        <f t="shared" si="0"/>
        <v>0</v>
      </c>
      <c r="S41" s="28" t="b">
        <f t="shared" si="1"/>
        <v>0</v>
      </c>
    </row>
    <row r="42" spans="1:19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32"/>
      <c r="Q42" s="33"/>
      <c r="R42" s="28" t="b">
        <f t="shared" si="0"/>
        <v>0</v>
      </c>
      <c r="S42" s="28" t="b">
        <f t="shared" si="1"/>
        <v>0</v>
      </c>
    </row>
    <row r="43" spans="1:19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32"/>
      <c r="Q43" s="33"/>
      <c r="R43" s="28" t="b">
        <f t="shared" si="0"/>
        <v>0</v>
      </c>
      <c r="S43" s="28" t="b">
        <f t="shared" si="1"/>
        <v>0</v>
      </c>
    </row>
    <row r="44" spans="1:19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32"/>
      <c r="Q44" s="33"/>
      <c r="R44" s="28" t="b">
        <f t="shared" si="0"/>
        <v>0</v>
      </c>
      <c r="S44" s="28" t="b">
        <f t="shared" si="1"/>
        <v>0</v>
      </c>
    </row>
    <row r="45" spans="1:19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32"/>
      <c r="Q45" s="33"/>
      <c r="R45" s="28" t="b">
        <f t="shared" si="0"/>
        <v>0</v>
      </c>
      <c r="S45" s="28" t="b">
        <f t="shared" si="1"/>
        <v>0</v>
      </c>
    </row>
    <row r="46" spans="1:19" x14ac:dyDescent="0.2">
      <c r="A46" s="19"/>
      <c r="B46" s="37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32"/>
      <c r="Q46" s="33"/>
      <c r="R46" s="28" t="b">
        <f t="shared" si="0"/>
        <v>0</v>
      </c>
      <c r="S46" s="28" t="b">
        <f t="shared" si="1"/>
        <v>0</v>
      </c>
    </row>
    <row r="47" spans="1:19" x14ac:dyDescent="0.2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32"/>
      <c r="Q47" s="33"/>
      <c r="R47" s="28" t="b">
        <f t="shared" si="0"/>
        <v>0</v>
      </c>
      <c r="S47" s="28" t="b">
        <f t="shared" si="1"/>
        <v>0</v>
      </c>
    </row>
    <row r="48" spans="1:19" x14ac:dyDescent="0.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32"/>
      <c r="Q48" s="33"/>
      <c r="R48" s="28" t="b">
        <f t="shared" si="0"/>
        <v>0</v>
      </c>
      <c r="S48" s="28" t="b">
        <f t="shared" si="1"/>
        <v>0</v>
      </c>
    </row>
    <row r="49" spans="1:19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32"/>
      <c r="Q49" s="33"/>
      <c r="R49" s="28" t="b">
        <f t="shared" si="0"/>
        <v>0</v>
      </c>
      <c r="S49" s="28" t="b">
        <f t="shared" si="1"/>
        <v>0</v>
      </c>
    </row>
    <row r="50" spans="1:19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32"/>
      <c r="Q50" s="33"/>
      <c r="R50" s="28" t="b">
        <f t="shared" si="0"/>
        <v>0</v>
      </c>
      <c r="S50" s="28" t="b">
        <f t="shared" si="1"/>
        <v>0</v>
      </c>
    </row>
    <row r="51" spans="1:19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32"/>
      <c r="Q51" s="33"/>
      <c r="R51" s="28" t="b">
        <f t="shared" si="0"/>
        <v>0</v>
      </c>
      <c r="S51" s="28" t="b">
        <f t="shared" si="1"/>
        <v>0</v>
      </c>
    </row>
    <row r="52" spans="1:19" x14ac:dyDescent="0.2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32"/>
      <c r="Q52" s="33"/>
      <c r="R52" s="28" t="b">
        <f t="shared" si="0"/>
        <v>0</v>
      </c>
      <c r="S52" s="28" t="b">
        <f t="shared" si="1"/>
        <v>0</v>
      </c>
    </row>
    <row r="53" spans="1:19" x14ac:dyDescent="0.2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32"/>
      <c r="Q53" s="33"/>
      <c r="R53" s="28" t="b">
        <f t="shared" si="0"/>
        <v>0</v>
      </c>
      <c r="S53" s="28" t="b">
        <f t="shared" si="1"/>
        <v>0</v>
      </c>
    </row>
    <row r="54" spans="1:19" x14ac:dyDescent="0.2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32"/>
      <c r="Q54" s="33"/>
      <c r="R54" s="28" t="b">
        <f t="shared" si="0"/>
        <v>0</v>
      </c>
      <c r="S54" s="28" t="b">
        <f t="shared" si="1"/>
        <v>0</v>
      </c>
    </row>
    <row r="55" spans="1:19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32"/>
      <c r="Q55" s="33"/>
      <c r="R55" s="28" t="b">
        <f t="shared" si="0"/>
        <v>0</v>
      </c>
      <c r="S55" s="28" t="b">
        <f t="shared" si="1"/>
        <v>0</v>
      </c>
    </row>
    <row r="56" spans="1:19" x14ac:dyDescent="0.2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32"/>
      <c r="Q56" s="33"/>
      <c r="R56" s="28" t="b">
        <f t="shared" si="0"/>
        <v>0</v>
      </c>
      <c r="S56" s="28" t="b">
        <f t="shared" si="1"/>
        <v>0</v>
      </c>
    </row>
    <row r="57" spans="1:19" x14ac:dyDescent="0.2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32"/>
      <c r="Q57" s="33"/>
      <c r="R57" s="28" t="b">
        <f t="shared" si="0"/>
        <v>0</v>
      </c>
      <c r="S57" s="28" t="b">
        <f t="shared" si="1"/>
        <v>0</v>
      </c>
    </row>
    <row r="58" spans="1:19" x14ac:dyDescent="0.2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32"/>
      <c r="Q58" s="33"/>
      <c r="R58" s="28" t="b">
        <f t="shared" si="0"/>
        <v>0</v>
      </c>
      <c r="S58" s="28" t="b">
        <f t="shared" si="1"/>
        <v>0</v>
      </c>
    </row>
    <row r="59" spans="1:19" x14ac:dyDescent="0.2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32"/>
      <c r="Q59" s="33"/>
      <c r="R59" s="28" t="b">
        <f t="shared" si="0"/>
        <v>0</v>
      </c>
      <c r="S59" s="28" t="b">
        <f t="shared" si="1"/>
        <v>0</v>
      </c>
    </row>
    <row r="60" spans="1:19" x14ac:dyDescent="0.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32"/>
      <c r="Q60" s="33"/>
      <c r="R60" s="28" t="b">
        <f t="shared" si="0"/>
        <v>0</v>
      </c>
      <c r="S60" s="28" t="b">
        <f t="shared" si="1"/>
        <v>0</v>
      </c>
    </row>
    <row r="61" spans="1:19" x14ac:dyDescent="0.2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32"/>
      <c r="Q61" s="33"/>
      <c r="R61" s="28" t="b">
        <f t="shared" si="0"/>
        <v>0</v>
      </c>
      <c r="S61" s="28" t="b">
        <f t="shared" si="1"/>
        <v>0</v>
      </c>
    </row>
    <row r="62" spans="1:19" x14ac:dyDescent="0.2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32"/>
      <c r="Q62" s="33"/>
      <c r="R62" s="28" t="b">
        <f t="shared" si="0"/>
        <v>0</v>
      </c>
      <c r="S62" s="28" t="b">
        <f t="shared" si="1"/>
        <v>0</v>
      </c>
    </row>
    <row r="63" spans="1:19" x14ac:dyDescent="0.2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32"/>
      <c r="Q63" s="33"/>
      <c r="R63" s="28" t="b">
        <f t="shared" si="0"/>
        <v>0</v>
      </c>
      <c r="S63" s="28" t="b">
        <f t="shared" si="1"/>
        <v>0</v>
      </c>
    </row>
    <row r="64" spans="1:19" x14ac:dyDescent="0.2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32"/>
      <c r="Q64" s="33"/>
      <c r="R64" s="28" t="b">
        <f t="shared" si="0"/>
        <v>0</v>
      </c>
      <c r="S64" s="28" t="b">
        <f t="shared" si="1"/>
        <v>0</v>
      </c>
    </row>
    <row r="65" spans="1:19" x14ac:dyDescent="0.2">
      <c r="A65" s="19"/>
      <c r="B65" s="19"/>
      <c r="C65" s="19"/>
      <c r="D65" s="19"/>
      <c r="E65" s="39"/>
      <c r="F65" s="39"/>
      <c r="G65" s="39"/>
      <c r="H65" s="39"/>
      <c r="I65" s="39"/>
      <c r="J65" s="39"/>
      <c r="K65" s="39"/>
      <c r="L65" s="40"/>
      <c r="M65" s="19"/>
      <c r="N65" s="19"/>
      <c r="O65" s="19"/>
      <c r="P65" s="32"/>
      <c r="Q65" s="33"/>
      <c r="R65" s="28" t="b">
        <f t="shared" si="0"/>
        <v>0</v>
      </c>
      <c r="S65" s="28" t="b">
        <f t="shared" si="1"/>
        <v>0</v>
      </c>
    </row>
    <row r="66" spans="1:19" x14ac:dyDescent="0.2">
      <c r="A66" s="19"/>
      <c r="B66" s="19"/>
      <c r="C66" s="19"/>
      <c r="D66" s="19"/>
      <c r="E66" s="39"/>
      <c r="F66" s="39"/>
      <c r="G66" s="39"/>
      <c r="H66" s="39"/>
      <c r="I66" s="39"/>
      <c r="J66" s="39"/>
      <c r="K66" s="39"/>
      <c r="L66" s="40"/>
      <c r="M66" s="19"/>
      <c r="N66" s="19"/>
      <c r="O66" s="19"/>
      <c r="P66" s="32"/>
      <c r="Q66" s="33"/>
      <c r="R66" s="28" t="b">
        <f t="shared" si="0"/>
        <v>0</v>
      </c>
      <c r="S66" s="28" t="b">
        <f t="shared" si="1"/>
        <v>0</v>
      </c>
    </row>
    <row r="67" spans="1:19" x14ac:dyDescent="0.2">
      <c r="A67" s="19"/>
      <c r="B67" s="19"/>
      <c r="C67" s="19"/>
      <c r="D67" s="19"/>
      <c r="E67" s="39"/>
      <c r="F67" s="39"/>
      <c r="G67" s="39"/>
      <c r="H67" s="39"/>
      <c r="I67" s="39"/>
      <c r="J67" s="39"/>
      <c r="K67" s="39"/>
      <c r="L67" s="40"/>
      <c r="M67" s="19"/>
      <c r="N67" s="19"/>
      <c r="O67" s="19"/>
      <c r="P67" s="32"/>
      <c r="Q67" s="33"/>
      <c r="R67" s="28" t="b">
        <f t="shared" si="0"/>
        <v>0</v>
      </c>
      <c r="S67" s="28" t="b">
        <f t="shared" si="1"/>
        <v>0</v>
      </c>
    </row>
    <row r="68" spans="1:19" x14ac:dyDescent="0.2">
      <c r="A68" s="19"/>
      <c r="B68" s="19"/>
      <c r="C68" s="19"/>
      <c r="D68" s="19"/>
      <c r="E68" s="39"/>
      <c r="F68" s="39"/>
      <c r="G68" s="39"/>
      <c r="H68" s="39"/>
      <c r="I68" s="39"/>
      <c r="J68" s="39"/>
      <c r="K68" s="39"/>
      <c r="L68" s="40"/>
      <c r="M68" s="19"/>
      <c r="N68" s="19"/>
      <c r="O68" s="19"/>
      <c r="P68" s="32"/>
      <c r="Q68" s="33"/>
      <c r="R68" s="28" t="b">
        <f t="shared" ref="R68:R131" si="2">IF($P68&gt;0,$B$17+$B$18*$P68)</f>
        <v>0</v>
      </c>
      <c r="S68" s="28" t="b">
        <f t="shared" ref="S68:S131" si="3">IF($P68&gt;0,$Q68-$R68)</f>
        <v>0</v>
      </c>
    </row>
    <row r="69" spans="1:19" x14ac:dyDescent="0.2">
      <c r="A69" s="19"/>
      <c r="B69" s="19"/>
      <c r="C69" s="19"/>
      <c r="D69" s="19"/>
      <c r="E69" s="39"/>
      <c r="F69" s="39"/>
      <c r="G69" s="39"/>
      <c r="H69" s="39"/>
      <c r="I69" s="39"/>
      <c r="J69" s="39"/>
      <c r="K69" s="39"/>
      <c r="L69" s="40"/>
      <c r="M69" s="19"/>
      <c r="N69" s="19"/>
      <c r="O69" s="19"/>
      <c r="P69" s="32"/>
      <c r="Q69" s="33"/>
      <c r="R69" s="28" t="b">
        <f t="shared" si="2"/>
        <v>0</v>
      </c>
      <c r="S69" s="28" t="b">
        <f t="shared" si="3"/>
        <v>0</v>
      </c>
    </row>
    <row r="70" spans="1:19" x14ac:dyDescent="0.2">
      <c r="A70" s="19"/>
      <c r="B70" s="19"/>
      <c r="C70" s="19"/>
      <c r="D70" s="19"/>
      <c r="E70" s="39"/>
      <c r="F70" s="39"/>
      <c r="G70" s="39"/>
      <c r="H70" s="39"/>
      <c r="I70" s="39"/>
      <c r="J70" s="39"/>
      <c r="K70" s="39"/>
      <c r="L70" s="40"/>
      <c r="M70" s="19"/>
      <c r="N70" s="19"/>
      <c r="O70" s="19"/>
      <c r="P70" s="32"/>
      <c r="Q70" s="33"/>
      <c r="R70" s="28" t="b">
        <f t="shared" si="2"/>
        <v>0</v>
      </c>
      <c r="S70" s="28" t="b">
        <f t="shared" si="3"/>
        <v>0</v>
      </c>
    </row>
    <row r="71" spans="1:19" x14ac:dyDescent="0.2">
      <c r="A71" s="19"/>
      <c r="B71" s="19"/>
      <c r="C71" s="19"/>
      <c r="D71" s="19"/>
      <c r="E71" s="39"/>
      <c r="F71" s="39"/>
      <c r="G71" s="39"/>
      <c r="H71" s="39"/>
      <c r="I71" s="39"/>
      <c r="J71" s="39"/>
      <c r="K71" s="39"/>
      <c r="L71" s="40"/>
      <c r="M71" s="19"/>
      <c r="N71" s="19"/>
      <c r="O71" s="19"/>
      <c r="P71" s="32"/>
      <c r="Q71" s="33"/>
      <c r="R71" s="28" t="b">
        <f t="shared" si="2"/>
        <v>0</v>
      </c>
      <c r="S71" s="28" t="b">
        <f t="shared" si="3"/>
        <v>0</v>
      </c>
    </row>
    <row r="72" spans="1:19" x14ac:dyDescent="0.2">
      <c r="A72" s="19"/>
      <c r="B72" s="19"/>
      <c r="C72" s="19"/>
      <c r="D72" s="19"/>
      <c r="E72" s="39"/>
      <c r="F72" s="39"/>
      <c r="G72" s="39"/>
      <c r="H72" s="39"/>
      <c r="I72" s="39"/>
      <c r="J72" s="39"/>
      <c r="K72" s="39"/>
      <c r="L72" s="40"/>
      <c r="M72" s="19"/>
      <c r="N72" s="19"/>
      <c r="O72" s="19"/>
      <c r="P72" s="32"/>
      <c r="Q72" s="33"/>
      <c r="R72" s="28" t="b">
        <f t="shared" si="2"/>
        <v>0</v>
      </c>
      <c r="S72" s="28" t="b">
        <f t="shared" si="3"/>
        <v>0</v>
      </c>
    </row>
    <row r="73" spans="1:19" x14ac:dyDescent="0.2">
      <c r="A73" s="19"/>
      <c r="B73" s="19"/>
      <c r="C73" s="19"/>
      <c r="D73" s="19"/>
      <c r="E73" s="39"/>
      <c r="F73" s="39"/>
      <c r="G73" s="39"/>
      <c r="H73" s="39"/>
      <c r="I73" s="39"/>
      <c r="J73" s="39"/>
      <c r="K73" s="39"/>
      <c r="L73" s="40"/>
      <c r="M73" s="19"/>
      <c r="N73" s="19"/>
      <c r="O73" s="19"/>
      <c r="P73" s="32"/>
      <c r="Q73" s="33"/>
      <c r="R73" s="28" t="b">
        <f t="shared" si="2"/>
        <v>0</v>
      </c>
      <c r="S73" s="28" t="b">
        <f t="shared" si="3"/>
        <v>0</v>
      </c>
    </row>
    <row r="74" spans="1:19" x14ac:dyDescent="0.2">
      <c r="A74" s="19"/>
      <c r="B74" s="19"/>
      <c r="C74" s="19"/>
      <c r="D74" s="19"/>
      <c r="E74" s="39"/>
      <c r="F74" s="39"/>
      <c r="G74" s="39"/>
      <c r="H74" s="39"/>
      <c r="I74" s="39"/>
      <c r="J74" s="39"/>
      <c r="K74" s="39"/>
      <c r="L74" s="40"/>
      <c r="M74" s="19"/>
      <c r="N74" s="19"/>
      <c r="O74" s="19"/>
      <c r="P74" s="32"/>
      <c r="Q74" s="33"/>
      <c r="R74" s="28" t="b">
        <f t="shared" si="2"/>
        <v>0</v>
      </c>
      <c r="S74" s="28" t="b">
        <f t="shared" si="3"/>
        <v>0</v>
      </c>
    </row>
    <row r="75" spans="1:19" x14ac:dyDescent="0.2">
      <c r="A75" s="19"/>
      <c r="B75" s="19"/>
      <c r="C75" s="19"/>
      <c r="D75" s="19"/>
      <c r="E75" s="39"/>
      <c r="F75" s="39"/>
      <c r="G75" s="39"/>
      <c r="H75" s="39"/>
      <c r="I75" s="39"/>
      <c r="J75" s="39"/>
      <c r="K75" s="39"/>
      <c r="L75" s="40"/>
      <c r="M75" s="19"/>
      <c r="N75" s="19"/>
      <c r="O75" s="19"/>
      <c r="P75" s="32"/>
      <c r="Q75" s="33"/>
      <c r="R75" s="28" t="b">
        <f t="shared" si="2"/>
        <v>0</v>
      </c>
      <c r="S75" s="28" t="b">
        <f t="shared" si="3"/>
        <v>0</v>
      </c>
    </row>
    <row r="76" spans="1:19" x14ac:dyDescent="0.2">
      <c r="A76" s="19"/>
      <c r="B76" s="19"/>
      <c r="C76" s="19"/>
      <c r="D76" s="19"/>
      <c r="E76" s="39"/>
      <c r="F76" s="39"/>
      <c r="G76" s="39"/>
      <c r="H76" s="39"/>
      <c r="I76" s="39"/>
      <c r="J76" s="39"/>
      <c r="K76" s="39"/>
      <c r="L76" s="40"/>
      <c r="M76" s="19"/>
      <c r="N76" s="19"/>
      <c r="O76" s="19"/>
      <c r="P76" s="32"/>
      <c r="Q76" s="33"/>
      <c r="R76" s="28" t="b">
        <f t="shared" si="2"/>
        <v>0</v>
      </c>
      <c r="S76" s="28" t="b">
        <f t="shared" si="3"/>
        <v>0</v>
      </c>
    </row>
    <row r="77" spans="1:19" x14ac:dyDescent="0.2">
      <c r="A77" s="19"/>
      <c r="B77" s="19"/>
      <c r="C77" s="19"/>
      <c r="D77" s="19"/>
      <c r="E77" s="45"/>
      <c r="F77" s="39"/>
      <c r="G77" s="39"/>
      <c r="H77" s="39"/>
      <c r="I77" s="19"/>
      <c r="J77" s="19"/>
      <c r="K77" s="41"/>
      <c r="L77" s="40"/>
      <c r="M77" s="19"/>
      <c r="N77" s="19"/>
      <c r="O77" s="19"/>
      <c r="P77" s="32"/>
      <c r="Q77" s="33"/>
      <c r="R77" s="28" t="b">
        <f t="shared" si="2"/>
        <v>0</v>
      </c>
      <c r="S77" s="28" t="b">
        <f t="shared" si="3"/>
        <v>0</v>
      </c>
    </row>
    <row r="78" spans="1:19" x14ac:dyDescent="0.2">
      <c r="A78" s="19"/>
      <c r="B78" s="19"/>
      <c r="C78" s="19"/>
      <c r="D78" s="19"/>
      <c r="E78" s="45"/>
      <c r="F78" s="39"/>
      <c r="G78" s="39"/>
      <c r="H78" s="39"/>
      <c r="I78" s="42"/>
      <c r="J78" s="43"/>
      <c r="K78" s="41"/>
      <c r="L78" s="40"/>
      <c r="M78" s="19"/>
      <c r="N78" s="19"/>
      <c r="O78" s="19"/>
      <c r="P78" s="32"/>
      <c r="Q78" s="33"/>
      <c r="R78" s="28" t="b">
        <f t="shared" si="2"/>
        <v>0</v>
      </c>
      <c r="S78" s="28" t="b">
        <f t="shared" si="3"/>
        <v>0</v>
      </c>
    </row>
    <row r="79" spans="1:19" x14ac:dyDescent="0.2">
      <c r="A79" s="19"/>
      <c r="B79" s="19"/>
      <c r="C79" s="19"/>
      <c r="D79" s="19"/>
      <c r="E79" s="45"/>
      <c r="F79" s="39"/>
      <c r="G79" s="39"/>
      <c r="H79" s="39"/>
      <c r="I79" s="42"/>
      <c r="J79" s="43"/>
      <c r="K79" s="41"/>
      <c r="L79" s="40"/>
      <c r="M79" s="19"/>
      <c r="N79" s="19"/>
      <c r="O79" s="19"/>
      <c r="P79" s="32"/>
      <c r="Q79" s="33"/>
      <c r="R79" s="28" t="b">
        <f t="shared" si="2"/>
        <v>0</v>
      </c>
      <c r="S79" s="28" t="b">
        <f t="shared" si="3"/>
        <v>0</v>
      </c>
    </row>
    <row r="80" spans="1:19" x14ac:dyDescent="0.2">
      <c r="A80" s="19"/>
      <c r="B80" s="19"/>
      <c r="C80" s="19"/>
      <c r="D80" s="19"/>
      <c r="E80" s="45"/>
      <c r="F80" s="39"/>
      <c r="G80" s="39"/>
      <c r="H80" s="39"/>
      <c r="I80" s="42"/>
      <c r="J80" s="43"/>
      <c r="K80" s="41"/>
      <c r="L80" s="40"/>
      <c r="M80" s="19"/>
      <c r="N80" s="19"/>
      <c r="O80" s="19"/>
      <c r="P80" s="32"/>
      <c r="Q80" s="33"/>
      <c r="R80" s="28" t="b">
        <f t="shared" si="2"/>
        <v>0</v>
      </c>
      <c r="S80" s="28" t="b">
        <f t="shared" si="3"/>
        <v>0</v>
      </c>
    </row>
    <row r="81" spans="1:19" x14ac:dyDescent="0.2">
      <c r="A81" s="19"/>
      <c r="B81" s="19"/>
      <c r="C81" s="19"/>
      <c r="D81" s="19"/>
      <c r="E81" s="46"/>
      <c r="F81" s="39"/>
      <c r="G81" s="39"/>
      <c r="H81" s="39"/>
      <c r="I81" s="43"/>
      <c r="J81" s="43"/>
      <c r="K81" s="26"/>
      <c r="L81" s="26"/>
      <c r="M81" s="19"/>
      <c r="N81" s="19"/>
      <c r="O81" s="19"/>
      <c r="P81" s="32"/>
      <c r="Q81" s="33"/>
      <c r="R81" s="28" t="b">
        <f t="shared" si="2"/>
        <v>0</v>
      </c>
      <c r="S81" s="28" t="b">
        <f t="shared" si="3"/>
        <v>0</v>
      </c>
    </row>
    <row r="82" spans="1:19" x14ac:dyDescent="0.2">
      <c r="A82" s="19"/>
      <c r="B82" s="19"/>
      <c r="C82" s="19"/>
      <c r="D82" s="19"/>
      <c r="E82" s="26"/>
      <c r="F82" s="39"/>
      <c r="G82" s="39"/>
      <c r="H82" s="39"/>
      <c r="I82" s="26"/>
      <c r="J82" s="26"/>
      <c r="K82" s="26"/>
      <c r="L82" s="26"/>
      <c r="M82" s="19"/>
      <c r="N82" s="19"/>
      <c r="O82" s="19"/>
      <c r="P82" s="32"/>
      <c r="Q82" s="33"/>
      <c r="R82" s="28" t="b">
        <f t="shared" si="2"/>
        <v>0</v>
      </c>
      <c r="S82" s="28" t="b">
        <f t="shared" si="3"/>
        <v>0</v>
      </c>
    </row>
    <row r="83" spans="1:19" x14ac:dyDescent="0.2">
      <c r="A83" s="19"/>
      <c r="B83" s="19"/>
      <c r="C83" s="19"/>
      <c r="D83" s="19"/>
      <c r="E83" s="26"/>
      <c r="F83" s="39"/>
      <c r="G83" s="39"/>
      <c r="H83" s="39"/>
      <c r="I83" s="26"/>
      <c r="J83" s="26"/>
      <c r="K83" s="26"/>
      <c r="L83" s="26"/>
      <c r="M83" s="19"/>
      <c r="N83" s="19"/>
      <c r="O83" s="19"/>
      <c r="P83" s="32"/>
      <c r="Q83" s="33"/>
      <c r="R83" s="28" t="b">
        <f t="shared" si="2"/>
        <v>0</v>
      </c>
      <c r="S83" s="28" t="b">
        <f t="shared" si="3"/>
        <v>0</v>
      </c>
    </row>
    <row r="84" spans="1:19" x14ac:dyDescent="0.2">
      <c r="A84" s="19"/>
      <c r="B84" s="19"/>
      <c r="C84" s="19"/>
      <c r="D84" s="19"/>
      <c r="E84" s="19"/>
      <c r="F84" s="39"/>
      <c r="G84" s="39"/>
      <c r="H84" s="39"/>
      <c r="I84" s="19"/>
      <c r="J84" s="19"/>
      <c r="K84" s="19"/>
      <c r="L84" s="19"/>
      <c r="M84" s="19"/>
      <c r="N84" s="19"/>
      <c r="O84" s="19"/>
      <c r="P84" s="32"/>
      <c r="Q84" s="33"/>
      <c r="R84" s="28" t="b">
        <f t="shared" si="2"/>
        <v>0</v>
      </c>
      <c r="S84" s="28" t="b">
        <f t="shared" si="3"/>
        <v>0</v>
      </c>
    </row>
    <row r="85" spans="1:19" x14ac:dyDescent="0.2">
      <c r="A85" s="19"/>
      <c r="B85" s="19"/>
      <c r="C85" s="19"/>
      <c r="D85" s="19"/>
      <c r="E85" s="19"/>
      <c r="F85" s="39"/>
      <c r="G85" s="39"/>
      <c r="H85" s="39"/>
      <c r="I85" s="19"/>
      <c r="J85" s="19"/>
      <c r="K85" s="19"/>
      <c r="L85" s="19"/>
      <c r="M85" s="19"/>
      <c r="N85" s="19"/>
      <c r="O85" s="19"/>
      <c r="P85" s="32"/>
      <c r="Q85" s="33"/>
      <c r="R85" s="28" t="b">
        <f t="shared" si="2"/>
        <v>0</v>
      </c>
      <c r="S85" s="28" t="b">
        <f t="shared" si="3"/>
        <v>0</v>
      </c>
    </row>
    <row r="86" spans="1:19" x14ac:dyDescent="0.2">
      <c r="A86" s="19"/>
      <c r="B86" s="19"/>
      <c r="C86" s="19"/>
      <c r="D86" s="19"/>
      <c r="E86" s="19"/>
      <c r="F86" s="39"/>
      <c r="G86" s="39"/>
      <c r="H86" s="39"/>
      <c r="I86" s="19"/>
      <c r="J86" s="19"/>
      <c r="K86" s="19"/>
      <c r="L86" s="19"/>
      <c r="M86" s="19"/>
      <c r="N86" s="19"/>
      <c r="O86" s="19"/>
      <c r="P86" s="32"/>
      <c r="Q86" s="33"/>
      <c r="R86" s="28" t="b">
        <f t="shared" si="2"/>
        <v>0</v>
      </c>
      <c r="S86" s="28" t="b">
        <f t="shared" si="3"/>
        <v>0</v>
      </c>
    </row>
    <row r="87" spans="1:19" x14ac:dyDescent="0.2">
      <c r="A87" s="19"/>
      <c r="B87" s="19"/>
      <c r="C87" s="19"/>
      <c r="D87" s="19"/>
      <c r="E87" s="19"/>
      <c r="F87" s="39"/>
      <c r="G87" s="39"/>
      <c r="H87" s="39"/>
      <c r="I87" s="19"/>
      <c r="J87" s="19"/>
      <c r="K87" s="19"/>
      <c r="L87" s="19"/>
      <c r="M87" s="19"/>
      <c r="N87" s="19"/>
      <c r="O87" s="19"/>
      <c r="P87" s="32"/>
      <c r="Q87" s="33"/>
      <c r="R87" s="28" t="b">
        <f t="shared" si="2"/>
        <v>0</v>
      </c>
      <c r="S87" s="28" t="b">
        <f t="shared" si="3"/>
        <v>0</v>
      </c>
    </row>
    <row r="88" spans="1:19" x14ac:dyDescent="0.2">
      <c r="A88" s="19"/>
      <c r="B88" s="19"/>
      <c r="C88" s="19"/>
      <c r="D88" s="19"/>
      <c r="E88" s="19"/>
      <c r="F88" s="39"/>
      <c r="G88" s="39"/>
      <c r="H88" s="39"/>
      <c r="I88" s="19"/>
      <c r="J88" s="19"/>
      <c r="K88" s="19"/>
      <c r="L88" s="19"/>
      <c r="M88" s="19"/>
      <c r="N88" s="19"/>
      <c r="O88" s="19"/>
      <c r="P88" s="32"/>
      <c r="Q88" s="33"/>
      <c r="R88" s="28" t="b">
        <f t="shared" si="2"/>
        <v>0</v>
      </c>
      <c r="S88" s="28" t="b">
        <f t="shared" si="3"/>
        <v>0</v>
      </c>
    </row>
    <row r="89" spans="1:19" x14ac:dyDescent="0.2">
      <c r="A89" s="19"/>
      <c r="B89" s="19"/>
      <c r="C89" s="19"/>
      <c r="D89" s="19"/>
      <c r="E89" s="19"/>
      <c r="F89" s="39"/>
      <c r="G89" s="39"/>
      <c r="H89" s="39"/>
      <c r="I89" s="19"/>
      <c r="J89" s="19"/>
      <c r="K89" s="19"/>
      <c r="L89" s="19"/>
      <c r="M89" s="19"/>
      <c r="N89" s="19"/>
      <c r="O89" s="19"/>
      <c r="P89" s="32"/>
      <c r="Q89" s="33"/>
      <c r="R89" s="28" t="b">
        <f t="shared" si="2"/>
        <v>0</v>
      </c>
      <c r="S89" s="28" t="b">
        <f t="shared" si="3"/>
        <v>0</v>
      </c>
    </row>
    <row r="90" spans="1:19" x14ac:dyDescent="0.2">
      <c r="A90" s="19"/>
      <c r="B90" s="19"/>
      <c r="C90" s="19"/>
      <c r="D90" s="19"/>
      <c r="E90" s="19"/>
      <c r="F90" s="39"/>
      <c r="G90" s="39"/>
      <c r="H90" s="39"/>
      <c r="I90" s="19"/>
      <c r="J90" s="19"/>
      <c r="K90" s="19"/>
      <c r="L90" s="19"/>
      <c r="M90" s="19"/>
      <c r="N90" s="19"/>
      <c r="O90" s="19"/>
      <c r="P90" s="32"/>
      <c r="Q90" s="33"/>
      <c r="R90" s="28" t="b">
        <f t="shared" si="2"/>
        <v>0</v>
      </c>
      <c r="S90" s="28" t="b">
        <f t="shared" si="3"/>
        <v>0</v>
      </c>
    </row>
    <row r="91" spans="1:19" x14ac:dyDescent="0.2">
      <c r="A91" s="19"/>
      <c r="B91" s="19"/>
      <c r="C91" s="19"/>
      <c r="D91" s="19"/>
      <c r="E91" s="19"/>
      <c r="F91" s="39"/>
      <c r="G91" s="39"/>
      <c r="H91" s="39"/>
      <c r="I91" s="19"/>
      <c r="J91" s="19"/>
      <c r="K91" s="19"/>
      <c r="L91" s="19"/>
      <c r="M91" s="19"/>
      <c r="N91" s="19"/>
      <c r="O91" s="19"/>
      <c r="P91" s="32"/>
      <c r="Q91" s="33"/>
      <c r="R91" s="28" t="b">
        <f t="shared" si="2"/>
        <v>0</v>
      </c>
      <c r="S91" s="28" t="b">
        <f t="shared" si="3"/>
        <v>0</v>
      </c>
    </row>
    <row r="92" spans="1:19" x14ac:dyDescent="0.2">
      <c r="A92" s="19"/>
      <c r="B92" s="19"/>
      <c r="C92" s="19"/>
      <c r="D92" s="19"/>
      <c r="E92" s="19"/>
      <c r="F92" s="39"/>
      <c r="G92" s="39"/>
      <c r="H92" s="39"/>
      <c r="I92" s="19"/>
      <c r="J92" s="19"/>
      <c r="K92" s="19"/>
      <c r="L92" s="19"/>
      <c r="M92" s="19"/>
      <c r="N92" s="19"/>
      <c r="O92" s="19"/>
      <c r="P92" s="32"/>
      <c r="Q92" s="33"/>
      <c r="R92" s="28" t="b">
        <f t="shared" si="2"/>
        <v>0</v>
      </c>
      <c r="S92" s="28" t="b">
        <f t="shared" si="3"/>
        <v>0</v>
      </c>
    </row>
    <row r="93" spans="1:19" x14ac:dyDescent="0.2">
      <c r="A93" s="19"/>
      <c r="B93" s="19"/>
      <c r="C93" s="19"/>
      <c r="D93" s="19"/>
      <c r="E93" s="19"/>
      <c r="F93" s="39"/>
      <c r="G93" s="39"/>
      <c r="H93" s="39"/>
      <c r="I93" s="19"/>
      <c r="J93" s="19"/>
      <c r="K93" s="19"/>
      <c r="L93" s="19"/>
      <c r="M93" s="19"/>
      <c r="N93" s="19"/>
      <c r="O93" s="19"/>
      <c r="P93" s="32"/>
      <c r="Q93" s="33"/>
      <c r="R93" s="28" t="b">
        <f t="shared" si="2"/>
        <v>0</v>
      </c>
      <c r="S93" s="28" t="b">
        <f t="shared" si="3"/>
        <v>0</v>
      </c>
    </row>
    <row r="94" spans="1:19" x14ac:dyDescent="0.2">
      <c r="A94" s="19"/>
      <c r="B94" s="19"/>
      <c r="C94" s="19"/>
      <c r="D94" s="19"/>
      <c r="E94" s="19"/>
      <c r="F94" s="39"/>
      <c r="G94" s="39"/>
      <c r="H94" s="39"/>
      <c r="I94" s="44"/>
      <c r="J94" s="44"/>
      <c r="K94" s="19"/>
      <c r="L94" s="19"/>
      <c r="M94" s="19"/>
      <c r="N94" s="19"/>
      <c r="O94" s="19"/>
      <c r="P94" s="32"/>
      <c r="Q94" s="33"/>
      <c r="R94" s="28" t="b">
        <f t="shared" si="2"/>
        <v>0</v>
      </c>
      <c r="S94" s="28" t="b">
        <f t="shared" si="3"/>
        <v>0</v>
      </c>
    </row>
    <row r="95" spans="1:19" x14ac:dyDescent="0.2">
      <c r="A95" s="19"/>
      <c r="B95" s="19"/>
      <c r="C95" s="19"/>
      <c r="D95" s="19"/>
      <c r="E95" s="19"/>
      <c r="F95" s="39"/>
      <c r="G95" s="39"/>
      <c r="H95" s="39"/>
      <c r="I95" s="19"/>
      <c r="J95" s="19"/>
      <c r="K95" s="19"/>
      <c r="L95" s="19"/>
      <c r="M95" s="19"/>
      <c r="N95" s="19"/>
      <c r="O95" s="19"/>
      <c r="P95" s="32"/>
      <c r="Q95" s="33"/>
      <c r="R95" s="28" t="b">
        <f t="shared" si="2"/>
        <v>0</v>
      </c>
      <c r="S95" s="28" t="b">
        <f t="shared" si="3"/>
        <v>0</v>
      </c>
    </row>
    <row r="96" spans="1:19" x14ac:dyDescent="0.2">
      <c r="A96" s="19"/>
      <c r="B96" s="19"/>
      <c r="C96" s="19"/>
      <c r="D96" s="19"/>
      <c r="E96" s="19"/>
      <c r="F96" s="39"/>
      <c r="G96" s="39"/>
      <c r="H96" s="39"/>
      <c r="I96" s="19"/>
      <c r="J96" s="19"/>
      <c r="K96" s="19"/>
      <c r="L96" s="19"/>
      <c r="M96" s="19"/>
      <c r="N96" s="19"/>
      <c r="O96" s="19"/>
      <c r="P96" s="32"/>
      <c r="Q96" s="33"/>
      <c r="R96" s="28" t="b">
        <f t="shared" si="2"/>
        <v>0</v>
      </c>
      <c r="S96" s="28" t="b">
        <f t="shared" si="3"/>
        <v>0</v>
      </c>
    </row>
    <row r="97" spans="1:19" x14ac:dyDescent="0.2">
      <c r="A97" s="19"/>
      <c r="B97" s="19"/>
      <c r="C97" s="19"/>
      <c r="D97" s="19"/>
      <c r="E97" s="19"/>
      <c r="F97" s="39"/>
      <c r="G97" s="39"/>
      <c r="H97" s="39"/>
      <c r="I97" s="19"/>
      <c r="J97" s="19"/>
      <c r="K97" s="19"/>
      <c r="L97" s="19"/>
      <c r="M97" s="19"/>
      <c r="N97" s="19"/>
      <c r="O97" s="19"/>
      <c r="P97" s="32"/>
      <c r="Q97" s="33"/>
      <c r="R97" s="28" t="b">
        <f t="shared" si="2"/>
        <v>0</v>
      </c>
      <c r="S97" s="28" t="b">
        <f t="shared" si="3"/>
        <v>0</v>
      </c>
    </row>
    <row r="98" spans="1:19" x14ac:dyDescent="0.2">
      <c r="A98" s="19"/>
      <c r="B98" s="19"/>
      <c r="C98" s="19"/>
      <c r="D98" s="19"/>
      <c r="E98" s="19"/>
      <c r="F98" s="39"/>
      <c r="G98" s="39"/>
      <c r="H98" s="39"/>
      <c r="I98" s="19"/>
      <c r="J98" s="19"/>
      <c r="K98" s="19"/>
      <c r="L98" s="19"/>
      <c r="M98" s="19"/>
      <c r="N98" s="19"/>
      <c r="O98" s="19"/>
      <c r="P98" s="32"/>
      <c r="Q98" s="33"/>
      <c r="R98" s="28" t="b">
        <f t="shared" si="2"/>
        <v>0</v>
      </c>
      <c r="S98" s="28" t="b">
        <f t="shared" si="3"/>
        <v>0</v>
      </c>
    </row>
    <row r="99" spans="1:19" x14ac:dyDescent="0.2">
      <c r="A99" s="19"/>
      <c r="B99" s="19"/>
      <c r="C99" s="19"/>
      <c r="D99" s="19"/>
      <c r="E99" s="19"/>
      <c r="F99" s="39"/>
      <c r="G99" s="39"/>
      <c r="H99" s="39"/>
      <c r="I99" s="19"/>
      <c r="J99" s="19"/>
      <c r="K99" s="19"/>
      <c r="L99" s="19"/>
      <c r="M99" s="19"/>
      <c r="N99" s="19"/>
      <c r="O99" s="19"/>
      <c r="P99" s="32"/>
      <c r="Q99" s="33"/>
      <c r="R99" s="28" t="b">
        <f t="shared" si="2"/>
        <v>0</v>
      </c>
      <c r="S99" s="28" t="b">
        <f t="shared" si="3"/>
        <v>0</v>
      </c>
    </row>
    <row r="100" spans="1:19" x14ac:dyDescent="0.2">
      <c r="B100" s="5" t="s">
        <v>55</v>
      </c>
      <c r="H100" s="15"/>
      <c r="I100" s="19"/>
      <c r="J100" s="19"/>
      <c r="K100" s="19"/>
      <c r="L100" s="19"/>
      <c r="M100" s="19"/>
      <c r="N100" s="19"/>
      <c r="O100" s="19"/>
      <c r="P100" s="32"/>
      <c r="Q100" s="33"/>
      <c r="R100" s="28" t="b">
        <f t="shared" si="2"/>
        <v>0</v>
      </c>
      <c r="S100" s="28" t="b">
        <f t="shared" si="3"/>
        <v>0</v>
      </c>
    </row>
    <row r="101" spans="1:19" x14ac:dyDescent="0.2">
      <c r="A101" s="123"/>
      <c r="B101" s="88"/>
      <c r="C101" s="66" t="s">
        <v>56</v>
      </c>
      <c r="D101" s="66" t="s">
        <v>28</v>
      </c>
      <c r="E101" s="66" t="s">
        <v>64</v>
      </c>
      <c r="F101" s="66" t="s">
        <v>62</v>
      </c>
      <c r="G101" s="66" t="s">
        <v>66</v>
      </c>
      <c r="H101" s="15"/>
      <c r="I101" s="19"/>
      <c r="J101" s="19"/>
      <c r="K101" s="19"/>
      <c r="L101" s="19"/>
      <c r="M101" s="19"/>
      <c r="N101" s="19"/>
      <c r="O101" s="19"/>
      <c r="P101" s="32"/>
      <c r="Q101" s="33"/>
      <c r="R101" s="28" t="b">
        <f t="shared" si="2"/>
        <v>0</v>
      </c>
      <c r="S101" s="28" t="b">
        <f t="shared" si="3"/>
        <v>0</v>
      </c>
    </row>
    <row r="102" spans="1:19" x14ac:dyDescent="0.2">
      <c r="A102" s="67">
        <v>1</v>
      </c>
      <c r="B102" s="67">
        <f>A102+$B$32</f>
        <v>601</v>
      </c>
      <c r="C102" s="81" t="e">
        <f>MAX($B$17+$A$102*$B$18+$B$28+0.5*$B$6,$B$6)</f>
        <v>#DIV/0!</v>
      </c>
      <c r="D102" s="81" t="e">
        <f>$B$17+$A$102*$B$18+$B$27</f>
        <v>#DIV/0!</v>
      </c>
      <c r="E102" s="81" t="e">
        <f>MAX($B$17+$B$18*($B$35-$B$32)+$B$28+0.5*$B$6,$B$6)</f>
        <v>#DIV/0!</v>
      </c>
      <c r="F102" s="124">
        <f>MAX($P$3:$P$252)</f>
        <v>0</v>
      </c>
      <c r="G102" s="125" t="e">
        <f>MAX($B$17+$F$102*$B$18+$B$28+0.5*$B$6,$B$6)</f>
        <v>#DIV/0!</v>
      </c>
      <c r="H102" s="15"/>
      <c r="I102" s="19"/>
      <c r="J102" s="19"/>
      <c r="K102" s="19"/>
      <c r="L102" s="19"/>
      <c r="M102" s="19"/>
      <c r="N102" s="19"/>
      <c r="O102" s="19"/>
      <c r="P102" s="32"/>
      <c r="Q102" s="33"/>
      <c r="R102" s="28" t="b">
        <f t="shared" si="2"/>
        <v>0</v>
      </c>
      <c r="S102" s="28" t="b">
        <f t="shared" si="3"/>
        <v>0</v>
      </c>
    </row>
    <row r="103" spans="1:19" x14ac:dyDescent="0.2">
      <c r="A103" s="126" t="e">
        <f>(0.5*$B$6-$B$28-$B$17)/$B$18</f>
        <v>#DIV/0!</v>
      </c>
      <c r="B103" s="126" t="e">
        <f>$A103+$B$32</f>
        <v>#DIV/0!</v>
      </c>
      <c r="C103" s="81">
        <f>$B$6</f>
        <v>0.75</v>
      </c>
      <c r="D103" s="81" t="e">
        <f>$B$17+$A$103*$B$18+$B$27</f>
        <v>#DIV/0!</v>
      </c>
      <c r="E103" s="81" t="e">
        <f>MAX($B$17+$B$18*($C$35-$B$32)+$B$28+0.5*$B$6,$B$6)</f>
        <v>#DIV/0!</v>
      </c>
      <c r="F103" s="126">
        <f>$A$104</f>
        <v>44196</v>
      </c>
      <c r="G103" s="125" t="e">
        <f>$G$102</f>
        <v>#DIV/0!</v>
      </c>
      <c r="H103" s="15"/>
      <c r="I103" s="19"/>
      <c r="J103" s="19"/>
      <c r="K103" s="19"/>
      <c r="L103" s="19"/>
      <c r="M103" s="19"/>
      <c r="N103" s="19"/>
      <c r="O103" s="19"/>
      <c r="P103" s="32"/>
      <c r="Q103" s="33"/>
      <c r="R103" s="28" t="b">
        <f t="shared" si="2"/>
        <v>0</v>
      </c>
      <c r="S103" s="28" t="b">
        <f t="shared" si="3"/>
        <v>0</v>
      </c>
    </row>
    <row r="104" spans="1:19" x14ac:dyDescent="0.2">
      <c r="A104" s="67">
        <v>44196</v>
      </c>
      <c r="B104" s="67">
        <f>$A104+$B$32</f>
        <v>44796</v>
      </c>
      <c r="C104" s="125" t="e">
        <f>MAX($B$17+$A$104*$B$18+$B$28+0.5*$B$6,$B$6)</f>
        <v>#DIV/0!</v>
      </c>
      <c r="D104" s="125" t="e">
        <f>$B$17+$A$104*$B$18+$B$27</f>
        <v>#DIV/0!</v>
      </c>
      <c r="E104" s="88"/>
      <c r="F104" s="88"/>
      <c r="G104" s="127"/>
      <c r="H104" s="15"/>
      <c r="I104" s="19"/>
      <c r="J104" s="19"/>
      <c r="K104" s="19"/>
      <c r="L104" s="19"/>
      <c r="M104" s="19"/>
      <c r="N104" s="19"/>
      <c r="O104" s="19"/>
      <c r="P104" s="32"/>
      <c r="Q104" s="33"/>
      <c r="R104" s="28" t="b">
        <f t="shared" si="2"/>
        <v>0</v>
      </c>
      <c r="S104" s="28" t="b">
        <f t="shared" si="3"/>
        <v>0</v>
      </c>
    </row>
    <row r="105" spans="1:19" x14ac:dyDescent="0.2">
      <c r="A105" s="126">
        <f>$B$35</f>
        <v>38353</v>
      </c>
      <c r="B105" s="126">
        <f>$C$35</f>
        <v>39233</v>
      </c>
      <c r="C105" s="128">
        <v>0</v>
      </c>
      <c r="D105" s="129"/>
      <c r="E105" s="66" t="s">
        <v>65</v>
      </c>
      <c r="F105" s="88"/>
      <c r="G105" s="127"/>
      <c r="H105" s="15"/>
      <c r="I105" s="19"/>
      <c r="J105" s="19"/>
      <c r="K105" s="19"/>
      <c r="L105" s="19"/>
      <c r="M105" s="19"/>
      <c r="N105" s="19"/>
      <c r="O105" s="19"/>
      <c r="P105" s="32"/>
      <c r="Q105" s="33"/>
      <c r="R105" s="28" t="b">
        <f t="shared" si="2"/>
        <v>0</v>
      </c>
      <c r="S105" s="28" t="b">
        <f t="shared" si="3"/>
        <v>0</v>
      </c>
    </row>
    <row r="106" spans="1:19" x14ac:dyDescent="0.2">
      <c r="A106" s="126">
        <f>$B$35</f>
        <v>38353</v>
      </c>
      <c r="B106" s="126">
        <f>$C$35</f>
        <v>39233</v>
      </c>
      <c r="C106" s="128">
        <v>100000</v>
      </c>
      <c r="D106" s="129"/>
      <c r="E106" s="125" t="e">
        <f>$B$41</f>
        <v>#DIV/0!</v>
      </c>
      <c r="F106" s="129"/>
      <c r="G106" s="127"/>
      <c r="H106" s="15"/>
      <c r="I106" s="19"/>
      <c r="J106" s="19"/>
      <c r="K106" s="19"/>
      <c r="L106" s="19"/>
      <c r="M106" s="19"/>
      <c r="N106" s="19"/>
      <c r="O106" s="19"/>
      <c r="P106" s="32"/>
      <c r="Q106" s="33"/>
      <c r="R106" s="28" t="b">
        <f t="shared" si="2"/>
        <v>0</v>
      </c>
      <c r="S106" s="28" t="b">
        <f t="shared" si="3"/>
        <v>0</v>
      </c>
    </row>
    <row r="107" spans="1:19" x14ac:dyDescent="0.2">
      <c r="A107" s="129"/>
      <c r="B107" s="88"/>
      <c r="C107" s="88"/>
      <c r="D107" s="129"/>
      <c r="E107" s="125" t="e">
        <f>$B$41</f>
        <v>#DIV/0!</v>
      </c>
      <c r="F107" s="129"/>
      <c r="G107" s="127"/>
      <c r="H107" s="15"/>
      <c r="I107" s="19"/>
      <c r="J107" s="19"/>
      <c r="K107" s="19"/>
      <c r="L107" s="19"/>
      <c r="M107" s="19"/>
      <c r="N107" s="19"/>
      <c r="O107" s="19"/>
      <c r="P107" s="32"/>
      <c r="Q107" s="33"/>
      <c r="R107" s="28" t="b">
        <f t="shared" si="2"/>
        <v>0</v>
      </c>
      <c r="S107" s="28" t="b">
        <f t="shared" si="3"/>
        <v>0</v>
      </c>
    </row>
    <row r="108" spans="1:19" x14ac:dyDescent="0.2">
      <c r="A108" s="88"/>
      <c r="B108" s="88"/>
      <c r="C108" s="88"/>
      <c r="D108" s="88"/>
      <c r="E108" s="88"/>
      <c r="F108" s="129"/>
      <c r="G108" s="127"/>
      <c r="H108" s="15"/>
      <c r="I108" s="19"/>
      <c r="J108" s="19"/>
      <c r="K108" s="19"/>
      <c r="L108" s="19"/>
      <c r="M108" s="19"/>
      <c r="N108" s="19"/>
      <c r="O108" s="19"/>
      <c r="P108" s="32"/>
      <c r="Q108" s="33"/>
      <c r="R108" s="28" t="b">
        <f t="shared" si="2"/>
        <v>0</v>
      </c>
      <c r="S108" s="28" t="b">
        <f t="shared" si="3"/>
        <v>0</v>
      </c>
    </row>
    <row r="109" spans="1:19" x14ac:dyDescent="0.2">
      <c r="A109" s="88"/>
      <c r="B109" s="88"/>
      <c r="C109" s="88"/>
      <c r="D109" s="88"/>
      <c r="E109" s="88"/>
      <c r="F109" s="129"/>
      <c r="G109" s="127"/>
      <c r="H109" s="15"/>
      <c r="I109" s="19"/>
      <c r="J109" s="19"/>
      <c r="K109" s="19"/>
      <c r="L109" s="19"/>
      <c r="M109" s="19"/>
      <c r="N109" s="19"/>
      <c r="O109" s="19"/>
      <c r="P109" s="32"/>
      <c r="Q109" s="33"/>
      <c r="R109" s="28" t="b">
        <f t="shared" si="2"/>
        <v>0</v>
      </c>
      <c r="S109" s="28" t="b">
        <f t="shared" si="3"/>
        <v>0</v>
      </c>
    </row>
    <row r="110" spans="1:19" x14ac:dyDescent="0.2">
      <c r="A110" s="88"/>
      <c r="B110" s="88"/>
      <c r="C110" s="88"/>
      <c r="D110" s="88"/>
      <c r="E110" s="88"/>
      <c r="F110" s="129"/>
      <c r="G110" s="127"/>
      <c r="H110" s="15"/>
      <c r="I110" s="19"/>
      <c r="J110" s="19"/>
      <c r="K110" s="19"/>
      <c r="L110" s="19"/>
      <c r="M110" s="19"/>
      <c r="N110" s="19"/>
      <c r="O110" s="19"/>
      <c r="P110" s="32"/>
      <c r="Q110" s="33"/>
      <c r="R110" s="28" t="b">
        <f t="shared" si="2"/>
        <v>0</v>
      </c>
      <c r="S110" s="28" t="b">
        <f t="shared" si="3"/>
        <v>0</v>
      </c>
    </row>
    <row r="111" spans="1:19" x14ac:dyDescent="0.2">
      <c r="A111" s="88"/>
      <c r="B111" s="88"/>
      <c r="C111" s="66" t="s">
        <v>50</v>
      </c>
      <c r="D111" s="76" t="b">
        <f>IF($B$9&gt;3,INDEX(XX!$C$4:'XX'!$C$150,$B$9))</f>
        <v>0</v>
      </c>
      <c r="E111" s="76" t="b">
        <f>IF($B$9&gt;3,INDEX(XX!$D$4:'XX'!$D$150,$B$9))</f>
        <v>0</v>
      </c>
      <c r="F111" s="129"/>
      <c r="G111" s="127"/>
      <c r="H111" s="15"/>
      <c r="I111" s="19"/>
      <c r="J111" s="19"/>
      <c r="K111" s="19"/>
      <c r="L111" s="19"/>
      <c r="M111" s="19"/>
      <c r="N111" s="19"/>
      <c r="O111" s="19"/>
      <c r="P111" s="32"/>
      <c r="Q111" s="33"/>
      <c r="R111" s="28" t="b">
        <f t="shared" si="2"/>
        <v>0</v>
      </c>
      <c r="S111" s="28" t="b">
        <f t="shared" si="3"/>
        <v>0</v>
      </c>
    </row>
    <row r="112" spans="1:19" x14ac:dyDescent="0.2">
      <c r="A112" s="88"/>
      <c r="B112" s="88"/>
      <c r="C112" s="66" t="s">
        <v>51</v>
      </c>
      <c r="D112" s="130" t="s">
        <v>52</v>
      </c>
      <c r="E112" s="130" t="s">
        <v>53</v>
      </c>
      <c r="F112" s="129"/>
      <c r="G112" s="127"/>
      <c r="H112" s="15"/>
      <c r="I112" s="19"/>
      <c r="J112" s="19"/>
      <c r="K112" s="19"/>
      <c r="L112" s="19"/>
      <c r="M112" s="19"/>
      <c r="N112" s="19"/>
      <c r="O112" s="19"/>
      <c r="P112" s="32"/>
      <c r="Q112" s="33"/>
      <c r="R112" s="28" t="b">
        <f t="shared" si="2"/>
        <v>0</v>
      </c>
      <c r="S112" s="28" t="b">
        <f t="shared" si="3"/>
        <v>0</v>
      </c>
    </row>
    <row r="113" spans="1:19" x14ac:dyDescent="0.2">
      <c r="A113" s="66" t="s">
        <v>40</v>
      </c>
      <c r="B113" s="89" t="e">
        <f>MIN($A$50:$A$199)</f>
        <v>#DIV/0!</v>
      </c>
      <c r="C113" s="88"/>
      <c r="D113" s="76" t="e">
        <f>IF((ABS($B$16)&gt;$I$58)*AND(ABS($B$16)&lt;$J$58),#REF!+#REF!*B113,0)</f>
        <v>#DIV/0!</v>
      </c>
      <c r="E113" s="76" t="e">
        <f>IF((ABS($B$16)&gt;$J$58),$B$17+$B$18*$B113,0)</f>
        <v>#DIV/0!</v>
      </c>
      <c r="F113" s="129"/>
      <c r="G113" s="127"/>
      <c r="H113" s="15"/>
      <c r="I113" s="19"/>
      <c r="J113" s="19"/>
      <c r="K113" s="19"/>
      <c r="L113" s="19"/>
      <c r="M113" s="19"/>
      <c r="N113" s="19"/>
      <c r="O113" s="19"/>
      <c r="P113" s="32"/>
      <c r="Q113" s="33"/>
      <c r="R113" s="28" t="b">
        <f t="shared" si="2"/>
        <v>0</v>
      </c>
      <c r="S113" s="28" t="b">
        <f t="shared" si="3"/>
        <v>0</v>
      </c>
    </row>
    <row r="114" spans="1:19" x14ac:dyDescent="0.2">
      <c r="A114" s="66" t="s">
        <v>41</v>
      </c>
      <c r="B114" s="89">
        <f>MAX($P$3:$P$252)</f>
        <v>0</v>
      </c>
      <c r="C114" s="88"/>
      <c r="D114" s="76" t="e">
        <f>IF((ABS($B$16)&gt;$I$58)*AND(ABS($B$16)&lt;$J$58),#REF!+#REF!*B114,0)</f>
        <v>#DIV/0!</v>
      </c>
      <c r="E114" s="76" t="e">
        <f>IF((ABS($B$16)&gt;$E$111),$B$17+$B$18*$B114,0)</f>
        <v>#DIV/0!</v>
      </c>
      <c r="F114" s="129"/>
      <c r="G114" s="127"/>
      <c r="H114" s="15"/>
      <c r="I114" s="19"/>
      <c r="J114" s="19"/>
      <c r="K114" s="19"/>
      <c r="L114" s="19"/>
      <c r="M114" s="19"/>
      <c r="N114" s="19"/>
      <c r="O114" s="19"/>
      <c r="P114" s="32"/>
      <c r="Q114" s="33"/>
      <c r="R114" s="28" t="b">
        <f t="shared" si="2"/>
        <v>0</v>
      </c>
      <c r="S114" s="28" t="b">
        <f t="shared" si="3"/>
        <v>0</v>
      </c>
    </row>
    <row r="115" spans="1:19" x14ac:dyDescent="0.2">
      <c r="F115" s="15"/>
      <c r="G115" s="15"/>
      <c r="H115" s="15"/>
      <c r="I115" s="19"/>
      <c r="J115" s="19"/>
      <c r="K115" s="19"/>
      <c r="L115" s="19"/>
      <c r="M115" s="19"/>
      <c r="N115" s="19"/>
      <c r="O115" s="19"/>
      <c r="P115" s="32"/>
      <c r="Q115" s="33"/>
      <c r="R115" s="28" t="b">
        <f t="shared" si="2"/>
        <v>0</v>
      </c>
      <c r="S115" s="28" t="b">
        <f t="shared" si="3"/>
        <v>0</v>
      </c>
    </row>
    <row r="116" spans="1:19" x14ac:dyDescent="0.2">
      <c r="F116" s="15"/>
      <c r="G116" s="15"/>
      <c r="H116" s="15"/>
      <c r="I116" s="19"/>
      <c r="J116" s="19"/>
      <c r="K116" s="19"/>
      <c r="L116" s="19"/>
      <c r="M116" s="19"/>
      <c r="N116" s="19"/>
      <c r="O116" s="19"/>
      <c r="P116" s="32"/>
      <c r="Q116" s="33"/>
      <c r="R116" s="28" t="b">
        <f t="shared" si="2"/>
        <v>0</v>
      </c>
      <c r="S116" s="28" t="b">
        <f t="shared" si="3"/>
        <v>0</v>
      </c>
    </row>
    <row r="117" spans="1:19" x14ac:dyDescent="0.2">
      <c r="F117" s="15"/>
      <c r="G117" s="15"/>
      <c r="H117" s="15"/>
      <c r="I117" s="19"/>
      <c r="J117" s="19"/>
      <c r="K117" s="19"/>
      <c r="L117" s="19"/>
      <c r="M117" s="19"/>
      <c r="N117" s="19"/>
      <c r="O117" s="19"/>
      <c r="P117" s="32"/>
      <c r="Q117" s="33"/>
      <c r="R117" s="28" t="b">
        <f t="shared" si="2"/>
        <v>0</v>
      </c>
      <c r="S117" s="28" t="b">
        <f t="shared" si="3"/>
        <v>0</v>
      </c>
    </row>
    <row r="118" spans="1:19" x14ac:dyDescent="0.2">
      <c r="F118" s="15"/>
      <c r="G118" s="15"/>
      <c r="H118" s="15"/>
      <c r="I118" s="19"/>
      <c r="J118" s="19"/>
      <c r="K118" s="19"/>
      <c r="L118" s="19"/>
      <c r="M118" s="19"/>
      <c r="N118" s="19"/>
      <c r="O118" s="19"/>
      <c r="P118" s="32"/>
      <c r="Q118" s="33"/>
      <c r="R118" s="28" t="b">
        <f t="shared" si="2"/>
        <v>0</v>
      </c>
      <c r="S118" s="28" t="b">
        <f t="shared" si="3"/>
        <v>0</v>
      </c>
    </row>
    <row r="119" spans="1:19" x14ac:dyDescent="0.2">
      <c r="F119" s="15"/>
      <c r="G119" s="15"/>
      <c r="H119" s="15"/>
      <c r="I119" s="19"/>
      <c r="J119" s="19"/>
      <c r="K119" s="19"/>
      <c r="L119" s="19"/>
      <c r="M119" s="19"/>
      <c r="N119" s="19"/>
      <c r="O119" s="19"/>
      <c r="P119" s="32"/>
      <c r="Q119" s="33"/>
      <c r="R119" s="28" t="b">
        <f t="shared" si="2"/>
        <v>0</v>
      </c>
      <c r="S119" s="28" t="b">
        <f t="shared" si="3"/>
        <v>0</v>
      </c>
    </row>
    <row r="120" spans="1:19" x14ac:dyDescent="0.2">
      <c r="F120" s="15"/>
      <c r="G120" s="15"/>
      <c r="H120" s="15"/>
      <c r="I120" s="19"/>
      <c r="J120" s="19"/>
      <c r="K120" s="19"/>
      <c r="L120" s="19"/>
      <c r="M120" s="19"/>
      <c r="N120" s="19"/>
      <c r="O120" s="19"/>
      <c r="P120" s="32"/>
      <c r="Q120" s="33"/>
      <c r="R120" s="28" t="b">
        <f t="shared" si="2"/>
        <v>0</v>
      </c>
      <c r="S120" s="28" t="b">
        <f t="shared" si="3"/>
        <v>0</v>
      </c>
    </row>
    <row r="121" spans="1:19" x14ac:dyDescent="0.2">
      <c r="I121" s="19"/>
      <c r="J121" s="19"/>
      <c r="K121" s="19"/>
      <c r="L121" s="19"/>
      <c r="M121" s="19"/>
      <c r="N121" s="19"/>
      <c r="O121" s="19"/>
      <c r="P121" s="32"/>
      <c r="Q121" s="33"/>
      <c r="R121" s="28" t="b">
        <f t="shared" si="2"/>
        <v>0</v>
      </c>
      <c r="S121" s="28" t="b">
        <f t="shared" si="3"/>
        <v>0</v>
      </c>
    </row>
    <row r="122" spans="1:19" x14ac:dyDescent="0.2">
      <c r="I122" s="19"/>
      <c r="J122" s="19"/>
      <c r="K122" s="19"/>
      <c r="L122" s="19"/>
      <c r="M122" s="19"/>
      <c r="N122" s="19"/>
      <c r="O122" s="19"/>
      <c r="P122" s="32"/>
      <c r="Q122" s="33"/>
      <c r="R122" s="28" t="b">
        <f t="shared" si="2"/>
        <v>0</v>
      </c>
      <c r="S122" s="28" t="b">
        <f t="shared" si="3"/>
        <v>0</v>
      </c>
    </row>
    <row r="123" spans="1:19" x14ac:dyDescent="0.2">
      <c r="I123" s="19"/>
      <c r="J123" s="19"/>
      <c r="K123" s="19"/>
      <c r="L123" s="19"/>
      <c r="M123" s="19"/>
      <c r="N123" s="19"/>
      <c r="O123" s="19"/>
      <c r="P123" s="32"/>
      <c r="Q123" s="33"/>
      <c r="R123" s="28" t="b">
        <f t="shared" si="2"/>
        <v>0</v>
      </c>
      <c r="S123" s="28" t="b">
        <f t="shared" si="3"/>
        <v>0</v>
      </c>
    </row>
    <row r="124" spans="1:19" x14ac:dyDescent="0.2">
      <c r="I124" s="19"/>
      <c r="J124" s="19"/>
      <c r="K124" s="19"/>
      <c r="L124" s="19"/>
      <c r="M124" s="19"/>
      <c r="N124" s="19"/>
      <c r="O124" s="19"/>
      <c r="P124" s="32"/>
      <c r="Q124" s="33"/>
      <c r="R124" s="28" t="b">
        <f t="shared" si="2"/>
        <v>0</v>
      </c>
      <c r="S124" s="28" t="b">
        <f t="shared" si="3"/>
        <v>0</v>
      </c>
    </row>
    <row r="125" spans="1:19" x14ac:dyDescent="0.2">
      <c r="I125" s="19"/>
      <c r="J125" s="19"/>
      <c r="K125" s="19"/>
      <c r="L125" s="19"/>
      <c r="M125" s="19"/>
      <c r="N125" s="19"/>
      <c r="O125" s="19"/>
      <c r="P125" s="32"/>
      <c r="Q125" s="33"/>
      <c r="R125" s="28" t="b">
        <f t="shared" si="2"/>
        <v>0</v>
      </c>
      <c r="S125" s="28" t="b">
        <f t="shared" si="3"/>
        <v>0</v>
      </c>
    </row>
    <row r="126" spans="1:19" x14ac:dyDescent="0.2">
      <c r="I126" s="19"/>
      <c r="J126" s="19"/>
      <c r="K126" s="19"/>
      <c r="L126" s="19"/>
      <c r="M126" s="19"/>
      <c r="N126" s="19"/>
      <c r="O126" s="19"/>
      <c r="P126" s="32"/>
      <c r="Q126" s="33"/>
      <c r="R126" s="28" t="b">
        <f t="shared" si="2"/>
        <v>0</v>
      </c>
      <c r="S126" s="28" t="b">
        <f t="shared" si="3"/>
        <v>0</v>
      </c>
    </row>
    <row r="127" spans="1:19" x14ac:dyDescent="0.2">
      <c r="I127" s="19"/>
      <c r="J127" s="19"/>
      <c r="K127" s="19"/>
      <c r="L127" s="19"/>
      <c r="M127" s="19"/>
      <c r="N127" s="19"/>
      <c r="O127" s="19"/>
      <c r="P127" s="32"/>
      <c r="Q127" s="33"/>
      <c r="R127" s="28" t="b">
        <f t="shared" si="2"/>
        <v>0</v>
      </c>
      <c r="S127" s="28" t="b">
        <f t="shared" si="3"/>
        <v>0</v>
      </c>
    </row>
    <row r="128" spans="1:19" x14ac:dyDescent="0.2">
      <c r="I128" s="19"/>
      <c r="J128" s="19"/>
      <c r="K128" s="19"/>
      <c r="L128" s="19"/>
      <c r="M128" s="19"/>
      <c r="N128" s="19"/>
      <c r="O128" s="19"/>
      <c r="P128" s="32"/>
      <c r="Q128" s="33"/>
      <c r="R128" s="28" t="b">
        <f t="shared" si="2"/>
        <v>0</v>
      </c>
      <c r="S128" s="28" t="b">
        <f t="shared" si="3"/>
        <v>0</v>
      </c>
    </row>
    <row r="129" spans="9:19" x14ac:dyDescent="0.2">
      <c r="I129" s="19"/>
      <c r="J129" s="19"/>
      <c r="K129" s="19"/>
      <c r="L129" s="19"/>
      <c r="M129" s="19"/>
      <c r="N129" s="19"/>
      <c r="O129" s="19"/>
      <c r="P129" s="32"/>
      <c r="Q129" s="33"/>
      <c r="R129" s="28" t="b">
        <f t="shared" si="2"/>
        <v>0</v>
      </c>
      <c r="S129" s="28" t="b">
        <f t="shared" si="3"/>
        <v>0</v>
      </c>
    </row>
    <row r="130" spans="9:19" x14ac:dyDescent="0.2">
      <c r="I130" s="19"/>
      <c r="J130" s="19"/>
      <c r="K130" s="19"/>
      <c r="L130" s="19"/>
      <c r="M130" s="19"/>
      <c r="N130" s="19"/>
      <c r="O130" s="19"/>
      <c r="P130" s="32"/>
      <c r="Q130" s="33"/>
      <c r="R130" s="28" t="b">
        <f t="shared" si="2"/>
        <v>0</v>
      </c>
      <c r="S130" s="28" t="b">
        <f t="shared" si="3"/>
        <v>0</v>
      </c>
    </row>
    <row r="131" spans="9:19" x14ac:dyDescent="0.2">
      <c r="I131" s="19"/>
      <c r="J131" s="19"/>
      <c r="K131" s="19"/>
      <c r="L131" s="19"/>
      <c r="M131" s="19"/>
      <c r="N131" s="19"/>
      <c r="O131" s="19"/>
      <c r="P131" s="32"/>
      <c r="Q131" s="33"/>
      <c r="R131" s="28" t="b">
        <f t="shared" si="2"/>
        <v>0</v>
      </c>
      <c r="S131" s="28" t="b">
        <f t="shared" si="3"/>
        <v>0</v>
      </c>
    </row>
    <row r="132" spans="9:19" x14ac:dyDescent="0.2">
      <c r="I132" s="19"/>
      <c r="J132" s="19"/>
      <c r="K132" s="19"/>
      <c r="L132" s="19"/>
      <c r="M132" s="19"/>
      <c r="N132" s="19"/>
      <c r="O132" s="19"/>
      <c r="P132" s="32"/>
      <c r="Q132" s="33"/>
      <c r="R132" s="28" t="b">
        <f t="shared" ref="R132:R195" si="4">IF($P132&gt;0,$B$17+$B$18*$P132)</f>
        <v>0</v>
      </c>
      <c r="S132" s="28" t="b">
        <f t="shared" ref="S132:S195" si="5">IF($P132&gt;0,$Q132-$R132)</f>
        <v>0</v>
      </c>
    </row>
    <row r="133" spans="9:19" x14ac:dyDescent="0.2">
      <c r="I133" s="19"/>
      <c r="J133" s="19"/>
      <c r="K133" s="19"/>
      <c r="L133" s="19"/>
      <c r="M133" s="19"/>
      <c r="N133" s="19"/>
      <c r="O133" s="19"/>
      <c r="P133" s="32"/>
      <c r="Q133" s="33"/>
      <c r="R133" s="28" t="b">
        <f t="shared" si="4"/>
        <v>0</v>
      </c>
      <c r="S133" s="28" t="b">
        <f t="shared" si="5"/>
        <v>0</v>
      </c>
    </row>
    <row r="134" spans="9:19" x14ac:dyDescent="0.2">
      <c r="I134" s="19"/>
      <c r="J134" s="19"/>
      <c r="K134" s="19"/>
      <c r="L134" s="19"/>
      <c r="M134" s="19"/>
      <c r="N134" s="19"/>
      <c r="O134" s="19"/>
      <c r="P134" s="32"/>
      <c r="Q134" s="33"/>
      <c r="R134" s="28" t="b">
        <f t="shared" si="4"/>
        <v>0</v>
      </c>
      <c r="S134" s="28" t="b">
        <f t="shared" si="5"/>
        <v>0</v>
      </c>
    </row>
    <row r="135" spans="9:19" x14ac:dyDescent="0.2">
      <c r="I135" s="19"/>
      <c r="J135" s="19"/>
      <c r="K135" s="19"/>
      <c r="L135" s="19"/>
      <c r="M135" s="19"/>
      <c r="N135" s="19"/>
      <c r="O135" s="19"/>
      <c r="P135" s="32"/>
      <c r="Q135" s="33"/>
      <c r="R135" s="28" t="b">
        <f t="shared" si="4"/>
        <v>0</v>
      </c>
      <c r="S135" s="28" t="b">
        <f t="shared" si="5"/>
        <v>0</v>
      </c>
    </row>
    <row r="136" spans="9:19" x14ac:dyDescent="0.2">
      <c r="I136" s="19"/>
      <c r="J136" s="19"/>
      <c r="K136" s="19"/>
      <c r="L136" s="19"/>
      <c r="M136" s="19"/>
      <c r="N136" s="19"/>
      <c r="O136" s="19"/>
      <c r="P136" s="32"/>
      <c r="Q136" s="33"/>
      <c r="R136" s="28" t="b">
        <f t="shared" si="4"/>
        <v>0</v>
      </c>
      <c r="S136" s="28" t="b">
        <f t="shared" si="5"/>
        <v>0</v>
      </c>
    </row>
    <row r="137" spans="9:19" x14ac:dyDescent="0.2">
      <c r="I137" s="19"/>
      <c r="J137" s="19"/>
      <c r="K137" s="19"/>
      <c r="L137" s="19"/>
      <c r="M137" s="19"/>
      <c r="N137" s="19"/>
      <c r="O137" s="19"/>
      <c r="P137" s="32"/>
      <c r="Q137" s="33"/>
      <c r="R137" s="28" t="b">
        <f t="shared" si="4"/>
        <v>0</v>
      </c>
      <c r="S137" s="28" t="b">
        <f t="shared" si="5"/>
        <v>0</v>
      </c>
    </row>
    <row r="138" spans="9:19" x14ac:dyDescent="0.2">
      <c r="I138" s="19"/>
      <c r="J138" s="19"/>
      <c r="K138" s="19"/>
      <c r="L138" s="19"/>
      <c r="M138" s="19"/>
      <c r="N138" s="19"/>
      <c r="O138" s="19"/>
      <c r="P138" s="32"/>
      <c r="Q138" s="33"/>
      <c r="R138" s="28" t="b">
        <f t="shared" si="4"/>
        <v>0</v>
      </c>
      <c r="S138" s="28" t="b">
        <f t="shared" si="5"/>
        <v>0</v>
      </c>
    </row>
    <row r="139" spans="9:19" x14ac:dyDescent="0.2">
      <c r="I139" s="19"/>
      <c r="J139" s="19"/>
      <c r="K139" s="19"/>
      <c r="L139" s="19"/>
      <c r="M139" s="19"/>
      <c r="N139" s="19"/>
      <c r="O139" s="19"/>
      <c r="P139" s="32"/>
      <c r="Q139" s="33"/>
      <c r="R139" s="28" t="b">
        <f t="shared" si="4"/>
        <v>0</v>
      </c>
      <c r="S139" s="28" t="b">
        <f t="shared" si="5"/>
        <v>0</v>
      </c>
    </row>
    <row r="140" spans="9:19" x14ac:dyDescent="0.2">
      <c r="I140" s="19"/>
      <c r="J140" s="19"/>
      <c r="K140" s="19"/>
      <c r="L140" s="19"/>
      <c r="M140" s="19"/>
      <c r="N140" s="19"/>
      <c r="O140" s="19"/>
      <c r="P140" s="32"/>
      <c r="Q140" s="33"/>
      <c r="R140" s="28" t="b">
        <f t="shared" si="4"/>
        <v>0</v>
      </c>
      <c r="S140" s="28" t="b">
        <f t="shared" si="5"/>
        <v>0</v>
      </c>
    </row>
    <row r="141" spans="9:19" x14ac:dyDescent="0.2">
      <c r="I141" s="19"/>
      <c r="J141" s="19"/>
      <c r="K141" s="19"/>
      <c r="L141" s="19"/>
      <c r="M141" s="19"/>
      <c r="N141" s="19"/>
      <c r="O141" s="19"/>
      <c r="P141" s="32"/>
      <c r="Q141" s="33"/>
      <c r="R141" s="28" t="b">
        <f t="shared" si="4"/>
        <v>0</v>
      </c>
      <c r="S141" s="28" t="b">
        <f t="shared" si="5"/>
        <v>0</v>
      </c>
    </row>
    <row r="142" spans="9:19" x14ac:dyDescent="0.2">
      <c r="I142" s="19"/>
      <c r="J142" s="19"/>
      <c r="K142" s="19"/>
      <c r="L142" s="19"/>
      <c r="M142" s="19"/>
      <c r="N142" s="19"/>
      <c r="O142" s="19"/>
      <c r="P142" s="32"/>
      <c r="Q142" s="33"/>
      <c r="R142" s="28" t="b">
        <f t="shared" si="4"/>
        <v>0</v>
      </c>
      <c r="S142" s="28" t="b">
        <f t="shared" si="5"/>
        <v>0</v>
      </c>
    </row>
    <row r="143" spans="9:19" x14ac:dyDescent="0.2">
      <c r="I143" s="19"/>
      <c r="J143" s="19"/>
      <c r="K143" s="19"/>
      <c r="L143" s="19"/>
      <c r="M143" s="19"/>
      <c r="N143" s="19"/>
      <c r="O143" s="19"/>
      <c r="P143" s="32"/>
      <c r="Q143" s="33"/>
      <c r="R143" s="28" t="b">
        <f t="shared" si="4"/>
        <v>0</v>
      </c>
      <c r="S143" s="28" t="b">
        <f t="shared" si="5"/>
        <v>0</v>
      </c>
    </row>
    <row r="144" spans="9:19" x14ac:dyDescent="0.2">
      <c r="I144" s="19"/>
      <c r="J144" s="19"/>
      <c r="K144" s="19"/>
      <c r="L144" s="19"/>
      <c r="M144" s="19"/>
      <c r="N144" s="19"/>
      <c r="O144" s="19"/>
      <c r="P144" s="32"/>
      <c r="Q144" s="33"/>
      <c r="R144" s="28" t="b">
        <f t="shared" si="4"/>
        <v>0</v>
      </c>
      <c r="S144" s="28" t="b">
        <f t="shared" si="5"/>
        <v>0</v>
      </c>
    </row>
    <row r="145" spans="9:19" x14ac:dyDescent="0.2">
      <c r="I145" s="19"/>
      <c r="J145" s="19"/>
      <c r="K145" s="19"/>
      <c r="L145" s="19"/>
      <c r="M145" s="19"/>
      <c r="N145" s="19"/>
      <c r="O145" s="19"/>
      <c r="P145" s="32"/>
      <c r="Q145" s="33"/>
      <c r="R145" s="28" t="b">
        <f t="shared" si="4"/>
        <v>0</v>
      </c>
      <c r="S145" s="28" t="b">
        <f t="shared" si="5"/>
        <v>0</v>
      </c>
    </row>
    <row r="146" spans="9:19" x14ac:dyDescent="0.2">
      <c r="I146" s="19"/>
      <c r="J146" s="19"/>
      <c r="K146" s="19"/>
      <c r="L146" s="19"/>
      <c r="M146" s="19"/>
      <c r="N146" s="19"/>
      <c r="O146" s="19"/>
      <c r="P146" s="32"/>
      <c r="Q146" s="33"/>
      <c r="R146" s="28" t="b">
        <f t="shared" si="4"/>
        <v>0</v>
      </c>
      <c r="S146" s="28" t="b">
        <f t="shared" si="5"/>
        <v>0</v>
      </c>
    </row>
    <row r="147" spans="9:19" x14ac:dyDescent="0.2">
      <c r="I147" s="19"/>
      <c r="J147" s="19"/>
      <c r="K147" s="19"/>
      <c r="L147" s="19"/>
      <c r="M147" s="19"/>
      <c r="N147" s="19"/>
      <c r="O147" s="19"/>
      <c r="P147" s="32"/>
      <c r="Q147" s="33"/>
      <c r="R147" s="28" t="b">
        <f t="shared" si="4"/>
        <v>0</v>
      </c>
      <c r="S147" s="28" t="b">
        <f t="shared" si="5"/>
        <v>0</v>
      </c>
    </row>
    <row r="148" spans="9:19" x14ac:dyDescent="0.2">
      <c r="I148" s="19"/>
      <c r="J148" s="19"/>
      <c r="K148" s="19"/>
      <c r="L148" s="19"/>
      <c r="M148" s="19"/>
      <c r="N148" s="19"/>
      <c r="O148" s="19"/>
      <c r="P148" s="32"/>
      <c r="Q148" s="33"/>
      <c r="R148" s="28" t="b">
        <f t="shared" si="4"/>
        <v>0</v>
      </c>
      <c r="S148" s="28" t="b">
        <f t="shared" si="5"/>
        <v>0</v>
      </c>
    </row>
    <row r="149" spans="9:19" x14ac:dyDescent="0.2">
      <c r="I149" s="19"/>
      <c r="J149" s="19"/>
      <c r="K149" s="19"/>
      <c r="L149" s="19"/>
      <c r="M149" s="19"/>
      <c r="N149" s="19"/>
      <c r="O149" s="19"/>
      <c r="P149" s="32"/>
      <c r="Q149" s="33"/>
      <c r="R149" s="28" t="b">
        <f t="shared" si="4"/>
        <v>0</v>
      </c>
      <c r="S149" s="28" t="b">
        <f t="shared" si="5"/>
        <v>0</v>
      </c>
    </row>
    <row r="150" spans="9:19" x14ac:dyDescent="0.2">
      <c r="I150" s="19"/>
      <c r="J150" s="19"/>
      <c r="K150" s="19"/>
      <c r="L150" s="19"/>
      <c r="M150" s="19"/>
      <c r="N150" s="19"/>
      <c r="O150" s="19"/>
      <c r="P150" s="32"/>
      <c r="Q150" s="33"/>
      <c r="R150" s="28" t="b">
        <f t="shared" si="4"/>
        <v>0</v>
      </c>
      <c r="S150" s="28" t="b">
        <f t="shared" si="5"/>
        <v>0</v>
      </c>
    </row>
    <row r="151" spans="9:19" x14ac:dyDescent="0.2">
      <c r="I151" s="19"/>
      <c r="J151" s="19"/>
      <c r="K151" s="19"/>
      <c r="L151" s="19"/>
      <c r="M151" s="19"/>
      <c r="N151" s="19"/>
      <c r="O151" s="19"/>
      <c r="P151" s="32"/>
      <c r="Q151" s="33"/>
      <c r="R151" s="28" t="b">
        <f t="shared" si="4"/>
        <v>0</v>
      </c>
      <c r="S151" s="28" t="b">
        <f t="shared" si="5"/>
        <v>0</v>
      </c>
    </row>
    <row r="152" spans="9:19" x14ac:dyDescent="0.2">
      <c r="I152" s="19"/>
      <c r="J152" s="19"/>
      <c r="K152" s="19"/>
      <c r="L152" s="19"/>
      <c r="M152" s="19"/>
      <c r="N152" s="19"/>
      <c r="O152" s="19"/>
      <c r="P152" s="32"/>
      <c r="Q152" s="33"/>
      <c r="R152" s="28" t="b">
        <f t="shared" si="4"/>
        <v>0</v>
      </c>
      <c r="S152" s="28" t="b">
        <f t="shared" si="5"/>
        <v>0</v>
      </c>
    </row>
    <row r="153" spans="9:19" x14ac:dyDescent="0.2">
      <c r="I153" s="19"/>
      <c r="J153" s="19"/>
      <c r="K153" s="19"/>
      <c r="L153" s="19"/>
      <c r="M153" s="19"/>
      <c r="N153" s="19"/>
      <c r="O153" s="19"/>
      <c r="P153" s="32"/>
      <c r="Q153" s="33"/>
      <c r="R153" s="28" t="b">
        <f t="shared" si="4"/>
        <v>0</v>
      </c>
      <c r="S153" s="28" t="b">
        <f t="shared" si="5"/>
        <v>0</v>
      </c>
    </row>
    <row r="154" spans="9:19" x14ac:dyDescent="0.2">
      <c r="I154" s="19"/>
      <c r="J154" s="19"/>
      <c r="K154" s="19"/>
      <c r="L154" s="19"/>
      <c r="M154" s="19"/>
      <c r="N154" s="19"/>
      <c r="O154" s="19"/>
      <c r="P154" s="32"/>
      <c r="Q154" s="33"/>
      <c r="R154" s="28" t="b">
        <f t="shared" si="4"/>
        <v>0</v>
      </c>
      <c r="S154" s="28" t="b">
        <f t="shared" si="5"/>
        <v>0</v>
      </c>
    </row>
    <row r="155" spans="9:19" x14ac:dyDescent="0.2">
      <c r="P155" s="32"/>
      <c r="Q155" s="33"/>
      <c r="R155" s="28" t="b">
        <f t="shared" si="4"/>
        <v>0</v>
      </c>
      <c r="S155" s="28" t="b">
        <f t="shared" si="5"/>
        <v>0</v>
      </c>
    </row>
    <row r="156" spans="9:19" x14ac:dyDescent="0.2">
      <c r="P156" s="32"/>
      <c r="Q156" s="33"/>
      <c r="R156" s="28" t="b">
        <f t="shared" si="4"/>
        <v>0</v>
      </c>
      <c r="S156" s="28" t="b">
        <f t="shared" si="5"/>
        <v>0</v>
      </c>
    </row>
    <row r="157" spans="9:19" x14ac:dyDescent="0.2">
      <c r="P157" s="32"/>
      <c r="Q157" s="33"/>
      <c r="R157" s="28" t="b">
        <f t="shared" si="4"/>
        <v>0</v>
      </c>
      <c r="S157" s="28" t="b">
        <f t="shared" si="5"/>
        <v>0</v>
      </c>
    </row>
    <row r="158" spans="9:19" x14ac:dyDescent="0.2">
      <c r="P158" s="32"/>
      <c r="Q158" s="33"/>
      <c r="R158" s="28" t="b">
        <f t="shared" si="4"/>
        <v>0</v>
      </c>
      <c r="S158" s="28" t="b">
        <f t="shared" si="5"/>
        <v>0</v>
      </c>
    </row>
    <row r="159" spans="9:19" x14ac:dyDescent="0.2">
      <c r="P159" s="32"/>
      <c r="Q159" s="33"/>
      <c r="R159" s="28" t="b">
        <f t="shared" si="4"/>
        <v>0</v>
      </c>
      <c r="S159" s="28" t="b">
        <f t="shared" si="5"/>
        <v>0</v>
      </c>
    </row>
    <row r="160" spans="9:19" x14ac:dyDescent="0.2">
      <c r="P160" s="32"/>
      <c r="Q160" s="33"/>
      <c r="R160" s="28" t="b">
        <f t="shared" si="4"/>
        <v>0</v>
      </c>
      <c r="S160" s="28" t="b">
        <f t="shared" si="5"/>
        <v>0</v>
      </c>
    </row>
    <row r="161" spans="16:19" x14ac:dyDescent="0.2">
      <c r="P161" s="32"/>
      <c r="Q161" s="33"/>
      <c r="R161" s="28" t="b">
        <f t="shared" si="4"/>
        <v>0</v>
      </c>
      <c r="S161" s="28" t="b">
        <f t="shared" si="5"/>
        <v>0</v>
      </c>
    </row>
    <row r="162" spans="16:19" x14ac:dyDescent="0.2">
      <c r="P162" s="32"/>
      <c r="Q162" s="33"/>
      <c r="R162" s="28" t="b">
        <f t="shared" si="4"/>
        <v>0</v>
      </c>
      <c r="S162" s="28" t="b">
        <f t="shared" si="5"/>
        <v>0</v>
      </c>
    </row>
    <row r="163" spans="16:19" x14ac:dyDescent="0.2">
      <c r="P163" s="32"/>
      <c r="Q163" s="33"/>
      <c r="R163" s="28" t="b">
        <f t="shared" si="4"/>
        <v>0</v>
      </c>
      <c r="S163" s="28" t="b">
        <f t="shared" si="5"/>
        <v>0</v>
      </c>
    </row>
    <row r="164" spans="16:19" x14ac:dyDescent="0.2">
      <c r="P164" s="32"/>
      <c r="Q164" s="33"/>
      <c r="R164" s="28" t="b">
        <f t="shared" si="4"/>
        <v>0</v>
      </c>
      <c r="S164" s="28" t="b">
        <f t="shared" si="5"/>
        <v>0</v>
      </c>
    </row>
    <row r="165" spans="16:19" x14ac:dyDescent="0.2">
      <c r="P165" s="32"/>
      <c r="Q165" s="33"/>
      <c r="R165" s="28" t="b">
        <f t="shared" si="4"/>
        <v>0</v>
      </c>
      <c r="S165" s="28" t="b">
        <f t="shared" si="5"/>
        <v>0</v>
      </c>
    </row>
    <row r="166" spans="16:19" x14ac:dyDescent="0.2">
      <c r="P166" s="32"/>
      <c r="Q166" s="33"/>
      <c r="R166" s="28" t="b">
        <f t="shared" si="4"/>
        <v>0</v>
      </c>
      <c r="S166" s="28" t="b">
        <f t="shared" si="5"/>
        <v>0</v>
      </c>
    </row>
    <row r="167" spans="16:19" x14ac:dyDescent="0.2">
      <c r="P167" s="32"/>
      <c r="Q167" s="33"/>
      <c r="R167" s="28" t="b">
        <f t="shared" si="4"/>
        <v>0</v>
      </c>
      <c r="S167" s="28" t="b">
        <f t="shared" si="5"/>
        <v>0</v>
      </c>
    </row>
    <row r="168" spans="16:19" x14ac:dyDescent="0.2">
      <c r="P168" s="32"/>
      <c r="Q168" s="33"/>
      <c r="R168" s="28" t="b">
        <f t="shared" si="4"/>
        <v>0</v>
      </c>
      <c r="S168" s="28" t="b">
        <f t="shared" si="5"/>
        <v>0</v>
      </c>
    </row>
    <row r="169" spans="16:19" x14ac:dyDescent="0.2">
      <c r="P169" s="32"/>
      <c r="Q169" s="33"/>
      <c r="R169" s="28" t="b">
        <f t="shared" si="4"/>
        <v>0</v>
      </c>
      <c r="S169" s="28" t="b">
        <f t="shared" si="5"/>
        <v>0</v>
      </c>
    </row>
    <row r="170" spans="16:19" x14ac:dyDescent="0.2">
      <c r="P170" s="32"/>
      <c r="Q170" s="33"/>
      <c r="R170" s="28" t="b">
        <f t="shared" si="4"/>
        <v>0</v>
      </c>
      <c r="S170" s="28" t="b">
        <f t="shared" si="5"/>
        <v>0</v>
      </c>
    </row>
    <row r="171" spans="16:19" x14ac:dyDescent="0.2">
      <c r="P171" s="32"/>
      <c r="Q171" s="33"/>
      <c r="R171" s="28" t="b">
        <f t="shared" si="4"/>
        <v>0</v>
      </c>
      <c r="S171" s="28" t="b">
        <f t="shared" si="5"/>
        <v>0</v>
      </c>
    </row>
    <row r="172" spans="16:19" x14ac:dyDescent="0.2">
      <c r="P172" s="32"/>
      <c r="Q172" s="33"/>
      <c r="R172" s="28" t="b">
        <f t="shared" si="4"/>
        <v>0</v>
      </c>
      <c r="S172" s="28" t="b">
        <f t="shared" si="5"/>
        <v>0</v>
      </c>
    </row>
    <row r="173" spans="16:19" x14ac:dyDescent="0.2">
      <c r="P173" s="32"/>
      <c r="Q173" s="33"/>
      <c r="R173" s="28" t="b">
        <f t="shared" si="4"/>
        <v>0</v>
      </c>
      <c r="S173" s="28" t="b">
        <f t="shared" si="5"/>
        <v>0</v>
      </c>
    </row>
    <row r="174" spans="16:19" x14ac:dyDescent="0.2">
      <c r="P174" s="32"/>
      <c r="Q174" s="33"/>
      <c r="R174" s="28" t="b">
        <f t="shared" si="4"/>
        <v>0</v>
      </c>
      <c r="S174" s="28" t="b">
        <f t="shared" si="5"/>
        <v>0</v>
      </c>
    </row>
    <row r="175" spans="16:19" x14ac:dyDescent="0.2">
      <c r="P175" s="32"/>
      <c r="Q175" s="33"/>
      <c r="R175" s="28" t="b">
        <f t="shared" si="4"/>
        <v>0</v>
      </c>
      <c r="S175" s="28" t="b">
        <f t="shared" si="5"/>
        <v>0</v>
      </c>
    </row>
    <row r="176" spans="16:19" x14ac:dyDescent="0.2">
      <c r="P176" s="32"/>
      <c r="Q176" s="33"/>
      <c r="R176" s="28" t="b">
        <f t="shared" si="4"/>
        <v>0</v>
      </c>
      <c r="S176" s="28" t="b">
        <f t="shared" si="5"/>
        <v>0</v>
      </c>
    </row>
    <row r="177" spans="16:19" x14ac:dyDescent="0.2">
      <c r="P177" s="32"/>
      <c r="Q177" s="33"/>
      <c r="R177" s="28" t="b">
        <f t="shared" si="4"/>
        <v>0</v>
      </c>
      <c r="S177" s="28" t="b">
        <f t="shared" si="5"/>
        <v>0</v>
      </c>
    </row>
    <row r="178" spans="16:19" x14ac:dyDescent="0.2">
      <c r="P178" s="32"/>
      <c r="Q178" s="33"/>
      <c r="R178" s="28" t="b">
        <f t="shared" si="4"/>
        <v>0</v>
      </c>
      <c r="S178" s="28" t="b">
        <f t="shared" si="5"/>
        <v>0</v>
      </c>
    </row>
    <row r="179" spans="16:19" x14ac:dyDescent="0.2">
      <c r="P179" s="32"/>
      <c r="Q179" s="33"/>
      <c r="R179" s="28" t="b">
        <f t="shared" si="4"/>
        <v>0</v>
      </c>
      <c r="S179" s="28" t="b">
        <f t="shared" si="5"/>
        <v>0</v>
      </c>
    </row>
    <row r="180" spans="16:19" x14ac:dyDescent="0.2">
      <c r="P180" s="32"/>
      <c r="Q180" s="33"/>
      <c r="R180" s="28" t="b">
        <f t="shared" si="4"/>
        <v>0</v>
      </c>
      <c r="S180" s="28" t="b">
        <f t="shared" si="5"/>
        <v>0</v>
      </c>
    </row>
    <row r="181" spans="16:19" x14ac:dyDescent="0.2">
      <c r="P181" s="32"/>
      <c r="Q181" s="33"/>
      <c r="R181" s="28" t="b">
        <f t="shared" si="4"/>
        <v>0</v>
      </c>
      <c r="S181" s="28" t="b">
        <f t="shared" si="5"/>
        <v>0</v>
      </c>
    </row>
    <row r="182" spans="16:19" x14ac:dyDescent="0.2">
      <c r="P182" s="32"/>
      <c r="Q182" s="33"/>
      <c r="R182" s="28" t="b">
        <f t="shared" si="4"/>
        <v>0</v>
      </c>
      <c r="S182" s="28" t="b">
        <f t="shared" si="5"/>
        <v>0</v>
      </c>
    </row>
    <row r="183" spans="16:19" x14ac:dyDescent="0.2">
      <c r="P183" s="32"/>
      <c r="Q183" s="33"/>
      <c r="R183" s="28" t="b">
        <f t="shared" si="4"/>
        <v>0</v>
      </c>
      <c r="S183" s="28" t="b">
        <f t="shared" si="5"/>
        <v>0</v>
      </c>
    </row>
    <row r="184" spans="16:19" x14ac:dyDescent="0.2">
      <c r="P184" s="32"/>
      <c r="Q184" s="33"/>
      <c r="R184" s="28" t="b">
        <f t="shared" si="4"/>
        <v>0</v>
      </c>
      <c r="S184" s="28" t="b">
        <f t="shared" si="5"/>
        <v>0</v>
      </c>
    </row>
    <row r="185" spans="16:19" x14ac:dyDescent="0.2">
      <c r="P185" s="32"/>
      <c r="Q185" s="33"/>
      <c r="R185" s="28" t="b">
        <f t="shared" si="4"/>
        <v>0</v>
      </c>
      <c r="S185" s="28" t="b">
        <f t="shared" si="5"/>
        <v>0</v>
      </c>
    </row>
    <row r="186" spans="16:19" x14ac:dyDescent="0.2">
      <c r="P186" s="32"/>
      <c r="Q186" s="33"/>
      <c r="R186" s="28" t="b">
        <f t="shared" si="4"/>
        <v>0</v>
      </c>
      <c r="S186" s="28" t="b">
        <f t="shared" si="5"/>
        <v>0</v>
      </c>
    </row>
    <row r="187" spans="16:19" x14ac:dyDescent="0.2">
      <c r="P187" s="32"/>
      <c r="Q187" s="33"/>
      <c r="R187" s="28" t="b">
        <f t="shared" si="4"/>
        <v>0</v>
      </c>
      <c r="S187" s="28" t="b">
        <f t="shared" si="5"/>
        <v>0</v>
      </c>
    </row>
    <row r="188" spans="16:19" x14ac:dyDescent="0.2">
      <c r="P188" s="32"/>
      <c r="Q188" s="33"/>
      <c r="R188" s="28" t="b">
        <f t="shared" si="4"/>
        <v>0</v>
      </c>
      <c r="S188" s="28" t="b">
        <f t="shared" si="5"/>
        <v>0</v>
      </c>
    </row>
    <row r="189" spans="16:19" x14ac:dyDescent="0.2">
      <c r="P189" s="32"/>
      <c r="Q189" s="33"/>
      <c r="R189" s="28" t="b">
        <f t="shared" si="4"/>
        <v>0</v>
      </c>
      <c r="S189" s="28" t="b">
        <f t="shared" si="5"/>
        <v>0</v>
      </c>
    </row>
    <row r="190" spans="16:19" x14ac:dyDescent="0.2">
      <c r="P190" s="32"/>
      <c r="Q190" s="33"/>
      <c r="R190" s="28" t="b">
        <f t="shared" si="4"/>
        <v>0</v>
      </c>
      <c r="S190" s="28" t="b">
        <f t="shared" si="5"/>
        <v>0</v>
      </c>
    </row>
    <row r="191" spans="16:19" x14ac:dyDescent="0.2">
      <c r="P191" s="32"/>
      <c r="Q191" s="33"/>
      <c r="R191" s="28" t="b">
        <f t="shared" si="4"/>
        <v>0</v>
      </c>
      <c r="S191" s="28" t="b">
        <f t="shared" si="5"/>
        <v>0</v>
      </c>
    </row>
    <row r="192" spans="16:19" x14ac:dyDescent="0.2">
      <c r="P192" s="32"/>
      <c r="Q192" s="33"/>
      <c r="R192" s="28" t="b">
        <f t="shared" si="4"/>
        <v>0</v>
      </c>
      <c r="S192" s="28" t="b">
        <f t="shared" si="5"/>
        <v>0</v>
      </c>
    </row>
    <row r="193" spans="16:19" x14ac:dyDescent="0.2">
      <c r="P193" s="32"/>
      <c r="Q193" s="33"/>
      <c r="R193" s="28" t="b">
        <f t="shared" si="4"/>
        <v>0</v>
      </c>
      <c r="S193" s="28" t="b">
        <f t="shared" si="5"/>
        <v>0</v>
      </c>
    </row>
    <row r="194" spans="16:19" x14ac:dyDescent="0.2">
      <c r="P194" s="32"/>
      <c r="Q194" s="33"/>
      <c r="R194" s="28" t="b">
        <f t="shared" si="4"/>
        <v>0</v>
      </c>
      <c r="S194" s="28" t="b">
        <f t="shared" si="5"/>
        <v>0</v>
      </c>
    </row>
    <row r="195" spans="16:19" x14ac:dyDescent="0.2">
      <c r="P195" s="32"/>
      <c r="Q195" s="33"/>
      <c r="R195" s="28" t="b">
        <f t="shared" si="4"/>
        <v>0</v>
      </c>
      <c r="S195" s="28" t="b">
        <f t="shared" si="5"/>
        <v>0</v>
      </c>
    </row>
    <row r="196" spans="16:19" x14ac:dyDescent="0.2">
      <c r="P196" s="32"/>
      <c r="Q196" s="33"/>
      <c r="R196" s="28" t="b">
        <f t="shared" ref="R196:R252" si="6">IF($P196&gt;0,$B$17+$B$18*$P196)</f>
        <v>0</v>
      </c>
      <c r="S196" s="28" t="b">
        <f t="shared" ref="S196:S252" si="7">IF($P196&gt;0,$Q196-$R196)</f>
        <v>0</v>
      </c>
    </row>
    <row r="197" spans="16:19" x14ac:dyDescent="0.2">
      <c r="P197" s="32"/>
      <c r="Q197" s="33"/>
      <c r="R197" s="28" t="b">
        <f t="shared" si="6"/>
        <v>0</v>
      </c>
      <c r="S197" s="28" t="b">
        <f t="shared" si="7"/>
        <v>0</v>
      </c>
    </row>
    <row r="198" spans="16:19" x14ac:dyDescent="0.2">
      <c r="P198" s="32"/>
      <c r="Q198" s="33"/>
      <c r="R198" s="28" t="b">
        <f t="shared" si="6"/>
        <v>0</v>
      </c>
      <c r="S198" s="28" t="b">
        <f t="shared" si="7"/>
        <v>0</v>
      </c>
    </row>
    <row r="199" spans="16:19" x14ac:dyDescent="0.2">
      <c r="P199" s="32"/>
      <c r="Q199" s="33"/>
      <c r="R199" s="28" t="b">
        <f t="shared" si="6"/>
        <v>0</v>
      </c>
      <c r="S199" s="28" t="b">
        <f t="shared" si="7"/>
        <v>0</v>
      </c>
    </row>
    <row r="200" spans="16:19" x14ac:dyDescent="0.2">
      <c r="P200" s="32"/>
      <c r="Q200" s="33"/>
      <c r="R200" s="28" t="b">
        <f t="shared" si="6"/>
        <v>0</v>
      </c>
      <c r="S200" s="28" t="b">
        <f t="shared" si="7"/>
        <v>0</v>
      </c>
    </row>
    <row r="201" spans="16:19" x14ac:dyDescent="0.2">
      <c r="P201" s="32"/>
      <c r="Q201" s="33"/>
      <c r="R201" s="28" t="b">
        <f t="shared" si="6"/>
        <v>0</v>
      </c>
      <c r="S201" s="28" t="b">
        <f t="shared" si="7"/>
        <v>0</v>
      </c>
    </row>
    <row r="202" spans="16:19" x14ac:dyDescent="0.2">
      <c r="P202" s="32"/>
      <c r="Q202" s="33"/>
      <c r="R202" s="28" t="b">
        <f t="shared" si="6"/>
        <v>0</v>
      </c>
      <c r="S202" s="28" t="b">
        <f t="shared" si="7"/>
        <v>0</v>
      </c>
    </row>
    <row r="203" spans="16:19" x14ac:dyDescent="0.2">
      <c r="P203" s="32"/>
      <c r="Q203" s="33"/>
      <c r="R203" s="28" t="b">
        <f t="shared" si="6"/>
        <v>0</v>
      </c>
      <c r="S203" s="28" t="b">
        <f t="shared" si="7"/>
        <v>0</v>
      </c>
    </row>
    <row r="204" spans="16:19" x14ac:dyDescent="0.2">
      <c r="P204" s="32"/>
      <c r="Q204" s="33"/>
      <c r="R204" s="28" t="b">
        <f t="shared" si="6"/>
        <v>0</v>
      </c>
      <c r="S204" s="28" t="b">
        <f t="shared" si="7"/>
        <v>0</v>
      </c>
    </row>
    <row r="205" spans="16:19" x14ac:dyDescent="0.2">
      <c r="P205" s="32"/>
      <c r="Q205" s="33"/>
      <c r="R205" s="28" t="b">
        <f t="shared" si="6"/>
        <v>0</v>
      </c>
      <c r="S205" s="28" t="b">
        <f t="shared" si="7"/>
        <v>0</v>
      </c>
    </row>
    <row r="206" spans="16:19" x14ac:dyDescent="0.2">
      <c r="P206" s="32"/>
      <c r="Q206" s="33"/>
      <c r="R206" s="28" t="b">
        <f t="shared" si="6"/>
        <v>0</v>
      </c>
      <c r="S206" s="28" t="b">
        <f t="shared" si="7"/>
        <v>0</v>
      </c>
    </row>
    <row r="207" spans="16:19" x14ac:dyDescent="0.2">
      <c r="P207" s="32"/>
      <c r="Q207" s="33"/>
      <c r="R207" s="28" t="b">
        <f t="shared" si="6"/>
        <v>0</v>
      </c>
      <c r="S207" s="28" t="b">
        <f t="shared" si="7"/>
        <v>0</v>
      </c>
    </row>
    <row r="208" spans="16:19" x14ac:dyDescent="0.2">
      <c r="P208" s="32"/>
      <c r="Q208" s="33"/>
      <c r="R208" s="28" t="b">
        <f t="shared" si="6"/>
        <v>0</v>
      </c>
      <c r="S208" s="28" t="b">
        <f t="shared" si="7"/>
        <v>0</v>
      </c>
    </row>
    <row r="209" spans="16:19" x14ac:dyDescent="0.2">
      <c r="P209" s="32"/>
      <c r="Q209" s="33"/>
      <c r="R209" s="28" t="b">
        <f t="shared" si="6"/>
        <v>0</v>
      </c>
      <c r="S209" s="28" t="b">
        <f t="shared" si="7"/>
        <v>0</v>
      </c>
    </row>
    <row r="210" spans="16:19" x14ac:dyDescent="0.2">
      <c r="P210" s="32"/>
      <c r="Q210" s="33"/>
      <c r="R210" s="28" t="b">
        <f t="shared" si="6"/>
        <v>0</v>
      </c>
      <c r="S210" s="28" t="b">
        <f t="shared" si="7"/>
        <v>0</v>
      </c>
    </row>
    <row r="211" spans="16:19" x14ac:dyDescent="0.2">
      <c r="P211" s="32"/>
      <c r="Q211" s="33"/>
      <c r="R211" s="28" t="b">
        <f t="shared" si="6"/>
        <v>0</v>
      </c>
      <c r="S211" s="28" t="b">
        <f t="shared" si="7"/>
        <v>0</v>
      </c>
    </row>
    <row r="212" spans="16:19" x14ac:dyDescent="0.2">
      <c r="P212" s="32"/>
      <c r="Q212" s="33"/>
      <c r="R212" s="28" t="b">
        <f t="shared" si="6"/>
        <v>0</v>
      </c>
      <c r="S212" s="28" t="b">
        <f t="shared" si="7"/>
        <v>0</v>
      </c>
    </row>
    <row r="213" spans="16:19" x14ac:dyDescent="0.2">
      <c r="P213" s="32"/>
      <c r="Q213" s="33"/>
      <c r="R213" s="28" t="b">
        <f t="shared" si="6"/>
        <v>0</v>
      </c>
      <c r="S213" s="28" t="b">
        <f t="shared" si="7"/>
        <v>0</v>
      </c>
    </row>
    <row r="214" spans="16:19" x14ac:dyDescent="0.2">
      <c r="P214" s="32"/>
      <c r="Q214" s="33"/>
      <c r="R214" s="28" t="b">
        <f t="shared" si="6"/>
        <v>0</v>
      </c>
      <c r="S214" s="28" t="b">
        <f t="shared" si="7"/>
        <v>0</v>
      </c>
    </row>
    <row r="215" spans="16:19" x14ac:dyDescent="0.2">
      <c r="P215" s="32"/>
      <c r="Q215" s="33"/>
      <c r="R215" s="28" t="b">
        <f t="shared" si="6"/>
        <v>0</v>
      </c>
      <c r="S215" s="28" t="b">
        <f t="shared" si="7"/>
        <v>0</v>
      </c>
    </row>
    <row r="216" spans="16:19" x14ac:dyDescent="0.2">
      <c r="P216" s="32"/>
      <c r="Q216" s="33"/>
      <c r="R216" s="28" t="b">
        <f t="shared" si="6"/>
        <v>0</v>
      </c>
      <c r="S216" s="28" t="b">
        <f t="shared" si="7"/>
        <v>0</v>
      </c>
    </row>
    <row r="217" spans="16:19" x14ac:dyDescent="0.2">
      <c r="P217" s="32"/>
      <c r="Q217" s="33"/>
      <c r="R217" s="28" t="b">
        <f t="shared" si="6"/>
        <v>0</v>
      </c>
      <c r="S217" s="28" t="b">
        <f t="shared" si="7"/>
        <v>0</v>
      </c>
    </row>
    <row r="218" spans="16:19" x14ac:dyDescent="0.2">
      <c r="P218" s="32"/>
      <c r="Q218" s="33"/>
      <c r="R218" s="28" t="b">
        <f t="shared" si="6"/>
        <v>0</v>
      </c>
      <c r="S218" s="28" t="b">
        <f t="shared" si="7"/>
        <v>0</v>
      </c>
    </row>
    <row r="219" spans="16:19" x14ac:dyDescent="0.2">
      <c r="P219" s="32"/>
      <c r="Q219" s="33"/>
      <c r="R219" s="28" t="b">
        <f t="shared" si="6"/>
        <v>0</v>
      </c>
      <c r="S219" s="28" t="b">
        <f t="shared" si="7"/>
        <v>0</v>
      </c>
    </row>
    <row r="220" spans="16:19" x14ac:dyDescent="0.2">
      <c r="P220" s="32"/>
      <c r="Q220" s="33"/>
      <c r="R220" s="28" t="b">
        <f t="shared" si="6"/>
        <v>0</v>
      </c>
      <c r="S220" s="28" t="b">
        <f t="shared" si="7"/>
        <v>0</v>
      </c>
    </row>
    <row r="221" spans="16:19" x14ac:dyDescent="0.2">
      <c r="P221" s="32"/>
      <c r="Q221" s="33"/>
      <c r="R221" s="28" t="b">
        <f t="shared" si="6"/>
        <v>0</v>
      </c>
      <c r="S221" s="28" t="b">
        <f t="shared" si="7"/>
        <v>0</v>
      </c>
    </row>
    <row r="222" spans="16:19" x14ac:dyDescent="0.2">
      <c r="P222" s="32"/>
      <c r="Q222" s="33"/>
      <c r="R222" s="28" t="b">
        <f t="shared" si="6"/>
        <v>0</v>
      </c>
      <c r="S222" s="28" t="b">
        <f t="shared" si="7"/>
        <v>0</v>
      </c>
    </row>
    <row r="223" spans="16:19" x14ac:dyDescent="0.2">
      <c r="P223" s="32"/>
      <c r="Q223" s="33"/>
      <c r="R223" s="28" t="b">
        <f t="shared" si="6"/>
        <v>0</v>
      </c>
      <c r="S223" s="28" t="b">
        <f t="shared" si="7"/>
        <v>0</v>
      </c>
    </row>
    <row r="224" spans="16:19" x14ac:dyDescent="0.2">
      <c r="P224" s="32"/>
      <c r="Q224" s="33"/>
      <c r="R224" s="28" t="b">
        <f t="shared" si="6"/>
        <v>0</v>
      </c>
      <c r="S224" s="28" t="b">
        <f t="shared" si="7"/>
        <v>0</v>
      </c>
    </row>
    <row r="225" spans="16:19" x14ac:dyDescent="0.2">
      <c r="P225" s="32"/>
      <c r="Q225" s="33"/>
      <c r="R225" s="28" t="b">
        <f t="shared" si="6"/>
        <v>0</v>
      </c>
      <c r="S225" s="28" t="b">
        <f t="shared" si="7"/>
        <v>0</v>
      </c>
    </row>
    <row r="226" spans="16:19" x14ac:dyDescent="0.2">
      <c r="P226" s="32"/>
      <c r="Q226" s="33"/>
      <c r="R226" s="28" t="b">
        <f t="shared" si="6"/>
        <v>0</v>
      </c>
      <c r="S226" s="28" t="b">
        <f t="shared" si="7"/>
        <v>0</v>
      </c>
    </row>
    <row r="227" spans="16:19" x14ac:dyDescent="0.2">
      <c r="P227" s="32"/>
      <c r="Q227" s="33"/>
      <c r="R227" s="28" t="b">
        <f t="shared" si="6"/>
        <v>0</v>
      </c>
      <c r="S227" s="28" t="b">
        <f t="shared" si="7"/>
        <v>0</v>
      </c>
    </row>
    <row r="228" spans="16:19" x14ac:dyDescent="0.2">
      <c r="P228" s="32"/>
      <c r="Q228" s="33"/>
      <c r="R228" s="28" t="b">
        <f t="shared" si="6"/>
        <v>0</v>
      </c>
      <c r="S228" s="28" t="b">
        <f t="shared" si="7"/>
        <v>0</v>
      </c>
    </row>
    <row r="229" spans="16:19" x14ac:dyDescent="0.2">
      <c r="P229" s="32"/>
      <c r="Q229" s="33"/>
      <c r="R229" s="28" t="b">
        <f t="shared" si="6"/>
        <v>0</v>
      </c>
      <c r="S229" s="28" t="b">
        <f t="shared" si="7"/>
        <v>0</v>
      </c>
    </row>
    <row r="230" spans="16:19" x14ac:dyDescent="0.2">
      <c r="P230" s="32"/>
      <c r="Q230" s="33"/>
      <c r="R230" s="28" t="b">
        <f t="shared" si="6"/>
        <v>0</v>
      </c>
      <c r="S230" s="28" t="b">
        <f t="shared" si="7"/>
        <v>0</v>
      </c>
    </row>
    <row r="231" spans="16:19" x14ac:dyDescent="0.2">
      <c r="P231" s="32"/>
      <c r="Q231" s="33"/>
      <c r="R231" s="28" t="b">
        <f t="shared" si="6"/>
        <v>0</v>
      </c>
      <c r="S231" s="28" t="b">
        <f t="shared" si="7"/>
        <v>0</v>
      </c>
    </row>
    <row r="232" spans="16:19" x14ac:dyDescent="0.2">
      <c r="P232" s="32"/>
      <c r="Q232" s="33"/>
      <c r="R232" s="28" t="b">
        <f t="shared" si="6"/>
        <v>0</v>
      </c>
      <c r="S232" s="28" t="b">
        <f t="shared" si="7"/>
        <v>0</v>
      </c>
    </row>
    <row r="233" spans="16:19" x14ac:dyDescent="0.2">
      <c r="P233" s="32"/>
      <c r="Q233" s="33"/>
      <c r="R233" s="28" t="b">
        <f t="shared" si="6"/>
        <v>0</v>
      </c>
      <c r="S233" s="28" t="b">
        <f t="shared" si="7"/>
        <v>0</v>
      </c>
    </row>
    <row r="234" spans="16:19" x14ac:dyDescent="0.2">
      <c r="P234" s="32"/>
      <c r="Q234" s="33"/>
      <c r="R234" s="28" t="b">
        <f t="shared" si="6"/>
        <v>0</v>
      </c>
      <c r="S234" s="28" t="b">
        <f t="shared" si="7"/>
        <v>0</v>
      </c>
    </row>
    <row r="235" spans="16:19" x14ac:dyDescent="0.2">
      <c r="P235" s="32"/>
      <c r="Q235" s="33"/>
      <c r="R235" s="28" t="b">
        <f t="shared" si="6"/>
        <v>0</v>
      </c>
      <c r="S235" s="28" t="b">
        <f t="shared" si="7"/>
        <v>0</v>
      </c>
    </row>
    <row r="236" spans="16:19" x14ac:dyDescent="0.2">
      <c r="P236" s="32"/>
      <c r="Q236" s="33"/>
      <c r="R236" s="28" t="b">
        <f t="shared" si="6"/>
        <v>0</v>
      </c>
      <c r="S236" s="28" t="b">
        <f t="shared" si="7"/>
        <v>0</v>
      </c>
    </row>
    <row r="237" spans="16:19" x14ac:dyDescent="0.2">
      <c r="P237" s="32"/>
      <c r="Q237" s="33"/>
      <c r="R237" s="28" t="b">
        <f t="shared" si="6"/>
        <v>0</v>
      </c>
      <c r="S237" s="28" t="b">
        <f t="shared" si="7"/>
        <v>0</v>
      </c>
    </row>
    <row r="238" spans="16:19" x14ac:dyDescent="0.2">
      <c r="P238" s="32"/>
      <c r="Q238" s="33"/>
      <c r="R238" s="28" t="b">
        <f t="shared" si="6"/>
        <v>0</v>
      </c>
      <c r="S238" s="28" t="b">
        <f t="shared" si="7"/>
        <v>0</v>
      </c>
    </row>
    <row r="239" spans="16:19" x14ac:dyDescent="0.2">
      <c r="P239" s="32"/>
      <c r="Q239" s="33"/>
      <c r="R239" s="28" t="b">
        <f t="shared" si="6"/>
        <v>0</v>
      </c>
      <c r="S239" s="28" t="b">
        <f t="shared" si="7"/>
        <v>0</v>
      </c>
    </row>
    <row r="240" spans="16:19" x14ac:dyDescent="0.2">
      <c r="P240" s="32"/>
      <c r="Q240" s="33"/>
      <c r="R240" s="28" t="b">
        <f t="shared" si="6"/>
        <v>0</v>
      </c>
      <c r="S240" s="28" t="b">
        <f t="shared" si="7"/>
        <v>0</v>
      </c>
    </row>
    <row r="241" spans="16:19" x14ac:dyDescent="0.2">
      <c r="P241" s="32"/>
      <c r="Q241" s="33"/>
      <c r="R241" s="28" t="b">
        <f t="shared" si="6"/>
        <v>0</v>
      </c>
      <c r="S241" s="28" t="b">
        <f t="shared" si="7"/>
        <v>0</v>
      </c>
    </row>
    <row r="242" spans="16:19" x14ac:dyDescent="0.2">
      <c r="P242" s="32"/>
      <c r="Q242" s="33"/>
      <c r="R242" s="28" t="b">
        <f t="shared" si="6"/>
        <v>0</v>
      </c>
      <c r="S242" s="28" t="b">
        <f t="shared" si="7"/>
        <v>0</v>
      </c>
    </row>
    <row r="243" spans="16:19" x14ac:dyDescent="0.2">
      <c r="P243" s="32"/>
      <c r="Q243" s="33"/>
      <c r="R243" s="28" t="b">
        <f t="shared" si="6"/>
        <v>0</v>
      </c>
      <c r="S243" s="28" t="b">
        <f t="shared" si="7"/>
        <v>0</v>
      </c>
    </row>
    <row r="244" spans="16:19" x14ac:dyDescent="0.2">
      <c r="P244" s="32"/>
      <c r="Q244" s="33"/>
      <c r="R244" s="28" t="b">
        <f t="shared" si="6"/>
        <v>0</v>
      </c>
      <c r="S244" s="28" t="b">
        <f t="shared" si="7"/>
        <v>0</v>
      </c>
    </row>
    <row r="245" spans="16:19" x14ac:dyDescent="0.2">
      <c r="P245" s="32"/>
      <c r="Q245" s="33"/>
      <c r="R245" s="28" t="b">
        <f t="shared" si="6"/>
        <v>0</v>
      </c>
      <c r="S245" s="28" t="b">
        <f t="shared" si="7"/>
        <v>0</v>
      </c>
    </row>
    <row r="246" spans="16:19" x14ac:dyDescent="0.2">
      <c r="P246" s="32"/>
      <c r="Q246" s="33"/>
      <c r="R246" s="28" t="b">
        <f t="shared" si="6"/>
        <v>0</v>
      </c>
      <c r="S246" s="28" t="b">
        <f t="shared" si="7"/>
        <v>0</v>
      </c>
    </row>
    <row r="247" spans="16:19" x14ac:dyDescent="0.2">
      <c r="P247" s="32"/>
      <c r="Q247" s="33"/>
      <c r="R247" s="28" t="b">
        <f t="shared" si="6"/>
        <v>0</v>
      </c>
      <c r="S247" s="28" t="b">
        <f t="shared" si="7"/>
        <v>0</v>
      </c>
    </row>
    <row r="248" spans="16:19" x14ac:dyDescent="0.2">
      <c r="P248" s="32"/>
      <c r="Q248" s="33"/>
      <c r="R248" s="28" t="b">
        <f t="shared" si="6"/>
        <v>0</v>
      </c>
      <c r="S248" s="28" t="b">
        <f t="shared" si="7"/>
        <v>0</v>
      </c>
    </row>
    <row r="249" spans="16:19" x14ac:dyDescent="0.2">
      <c r="P249" s="32"/>
      <c r="Q249" s="33"/>
      <c r="R249" s="28" t="b">
        <f t="shared" si="6"/>
        <v>0</v>
      </c>
      <c r="S249" s="28" t="b">
        <f t="shared" si="7"/>
        <v>0</v>
      </c>
    </row>
    <row r="250" spans="16:19" x14ac:dyDescent="0.2">
      <c r="P250" s="32"/>
      <c r="Q250" s="33"/>
      <c r="R250" s="28" t="b">
        <f t="shared" si="6"/>
        <v>0</v>
      </c>
      <c r="S250" s="28" t="b">
        <f t="shared" si="7"/>
        <v>0</v>
      </c>
    </row>
    <row r="251" spans="16:19" x14ac:dyDescent="0.2">
      <c r="P251" s="32"/>
      <c r="Q251" s="33"/>
      <c r="R251" s="28" t="b">
        <f t="shared" si="6"/>
        <v>0</v>
      </c>
      <c r="S251" s="28" t="b">
        <f t="shared" si="7"/>
        <v>0</v>
      </c>
    </row>
    <row r="252" spans="16:19" x14ac:dyDescent="0.2">
      <c r="P252" s="32"/>
      <c r="Q252" s="33"/>
      <c r="R252" s="28" t="b">
        <f t="shared" si="6"/>
        <v>0</v>
      </c>
      <c r="S252" s="28" t="b">
        <f t="shared" si="7"/>
        <v>0</v>
      </c>
    </row>
  </sheetData>
  <sheetProtection sheet="1" objects="1" scenarios="1" selectLockedCells="1"/>
  <mergeCells count="12">
    <mergeCell ref="A38:C38"/>
    <mergeCell ref="A1:B2"/>
    <mergeCell ref="C1:C2"/>
    <mergeCell ref="E1:G1"/>
    <mergeCell ref="B3:C3"/>
    <mergeCell ref="B4:C4"/>
    <mergeCell ref="A8:C8"/>
    <mergeCell ref="A15:C15"/>
    <mergeCell ref="A20:C20"/>
    <mergeCell ref="E26:G26"/>
    <mergeCell ref="A31:C31"/>
    <mergeCell ref="A34:C34"/>
  </mergeCells>
  <pageMargins left="0.39370078740157483" right="0.39370078740157483" top="0.82677165354330717" bottom="0.31496062992125984" header="0.19685039370078741" footer="0.11811023622047245"/>
  <pageSetup paperSize="9" scale="61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2"/>
  <sheetViews>
    <sheetView zoomScale="75" workbookViewId="0">
      <selection activeCell="P46" sqref="P46"/>
    </sheetView>
  </sheetViews>
  <sheetFormatPr baseColWidth="10" defaultColWidth="11.5703125" defaultRowHeight="12.75" x14ac:dyDescent="0.2"/>
  <cols>
    <col min="1" max="1" width="25.7109375" style="1" customWidth="1"/>
    <col min="2" max="2" width="14.5703125" style="1" customWidth="1"/>
    <col min="3" max="3" width="21.28515625" style="1" customWidth="1"/>
    <col min="4" max="4" width="5.42578125" style="1" customWidth="1"/>
    <col min="5" max="5" width="11.5703125" style="1"/>
    <col min="6" max="6" width="17.5703125" style="1" customWidth="1"/>
    <col min="7" max="7" width="12.42578125" style="1" bestFit="1" customWidth="1"/>
    <col min="8" max="8" width="17.85546875" style="1" customWidth="1"/>
    <col min="9" max="9" width="11.5703125" style="1"/>
    <col min="10" max="10" width="15.140625" style="1" customWidth="1"/>
    <col min="11" max="11" width="12.42578125" style="1" bestFit="1" customWidth="1"/>
    <col min="12" max="12" width="14.42578125" style="1" customWidth="1"/>
    <col min="13" max="13" width="12.42578125" style="1" customWidth="1"/>
    <col min="14" max="14" width="14.7109375" style="1" customWidth="1"/>
    <col min="15" max="15" width="23.28515625" style="1" customWidth="1"/>
    <col min="16" max="16" width="12" style="1" customWidth="1"/>
    <col min="17" max="17" width="15.28515625" style="1" bestFit="1" customWidth="1"/>
    <col min="18" max="16384" width="11.5703125" style="1"/>
  </cols>
  <sheetData>
    <row r="1" spans="1:21" ht="15" customHeight="1" x14ac:dyDescent="0.25">
      <c r="A1" s="149" t="s">
        <v>152</v>
      </c>
      <c r="B1" s="149"/>
      <c r="C1" s="165" t="s">
        <v>149</v>
      </c>
      <c r="D1" s="19"/>
      <c r="E1" s="144" t="s">
        <v>91</v>
      </c>
      <c r="F1" s="144"/>
      <c r="G1" s="144"/>
      <c r="H1" s="19"/>
      <c r="I1" s="19"/>
      <c r="J1" s="19"/>
      <c r="K1" s="19"/>
      <c r="L1" s="19"/>
      <c r="M1" s="19"/>
      <c r="N1" s="35"/>
      <c r="O1" s="19"/>
    </row>
    <row r="2" spans="1:21" ht="15" customHeight="1" x14ac:dyDescent="0.2">
      <c r="A2" s="149"/>
      <c r="B2" s="149"/>
      <c r="C2" s="165"/>
      <c r="D2" s="19"/>
      <c r="E2" s="19"/>
      <c r="F2" s="19"/>
      <c r="G2" s="19"/>
      <c r="H2" s="19"/>
      <c r="I2" s="19"/>
      <c r="J2" s="19"/>
      <c r="K2" s="19"/>
      <c r="L2" s="19"/>
      <c r="M2" s="19"/>
      <c r="N2" s="35"/>
      <c r="O2" s="19"/>
      <c r="P2" s="121" t="s">
        <v>0</v>
      </c>
      <c r="Q2" s="121" t="s">
        <v>34</v>
      </c>
      <c r="R2" s="122" t="s">
        <v>57</v>
      </c>
      <c r="S2" s="122" t="s">
        <v>58</v>
      </c>
    </row>
    <row r="3" spans="1:21" ht="15" customHeight="1" x14ac:dyDescent="0.2">
      <c r="A3" s="118" t="s">
        <v>101</v>
      </c>
      <c r="B3" s="168" t="str">
        <f>pH!B3</f>
        <v>Deponie Gruselsumpf</v>
      </c>
      <c r="C3" s="168"/>
      <c r="D3" s="19"/>
      <c r="E3" s="19"/>
      <c r="F3" s="19"/>
      <c r="G3" s="19"/>
      <c r="H3" s="36"/>
      <c r="I3" s="19"/>
      <c r="J3" s="19"/>
      <c r="K3" s="19"/>
      <c r="L3" s="19"/>
      <c r="M3" s="19"/>
      <c r="N3" s="19"/>
      <c r="O3" s="19"/>
      <c r="P3" s="32"/>
      <c r="Q3" s="33"/>
      <c r="R3" s="28" t="b">
        <f>IF($P3&gt;0,$B$17+$B$18*$P3)</f>
        <v>0</v>
      </c>
      <c r="S3" s="28" t="b">
        <f>IF($P3&gt;0,$Q3-$R3)</f>
        <v>0</v>
      </c>
    </row>
    <row r="4" spans="1:21" ht="15" customHeight="1" x14ac:dyDescent="0.2">
      <c r="A4" s="118" t="s">
        <v>102</v>
      </c>
      <c r="B4" s="166" t="str">
        <f>pH!B4</f>
        <v>WG9999</v>
      </c>
      <c r="C4" s="167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48"/>
      <c r="Q4" s="49"/>
      <c r="R4" s="28" t="b">
        <f t="shared" ref="R4:R67" si="0">IF($P4&gt;0,$B$17+$B$18*$P4)</f>
        <v>0</v>
      </c>
      <c r="S4" s="28" t="b">
        <f t="shared" ref="S4:S67" si="1">IF($P4&gt;0,$Q4-$R4)</f>
        <v>0</v>
      </c>
    </row>
    <row r="5" spans="1:21" ht="15" customHeight="1" x14ac:dyDescent="0.2">
      <c r="A5" s="131" t="s">
        <v>103</v>
      </c>
      <c r="B5" s="29" t="s">
        <v>100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32"/>
      <c r="Q5" s="33"/>
      <c r="R5" s="28" t="b">
        <f t="shared" si="0"/>
        <v>0</v>
      </c>
      <c r="S5" s="28" t="b">
        <f t="shared" si="1"/>
        <v>0</v>
      </c>
    </row>
    <row r="6" spans="1:21" ht="15" customHeight="1" x14ac:dyDescent="0.2">
      <c r="A6" s="131" t="s">
        <v>18</v>
      </c>
      <c r="B6" s="34">
        <v>0.75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32"/>
      <c r="Q6" s="33"/>
      <c r="R6" s="28" t="b">
        <f t="shared" si="0"/>
        <v>0</v>
      </c>
      <c r="S6" s="28" t="b">
        <f t="shared" si="1"/>
        <v>0</v>
      </c>
    </row>
    <row r="7" spans="1:21" ht="15" customHeight="1" x14ac:dyDescent="0.2">
      <c r="A7" s="26"/>
      <c r="B7" s="19"/>
      <c r="C7" s="19"/>
      <c r="D7" s="19"/>
      <c r="E7" s="19"/>
      <c r="F7" s="19"/>
      <c r="G7" s="36"/>
      <c r="H7" s="19"/>
      <c r="I7" s="19"/>
      <c r="J7" s="19"/>
      <c r="K7" s="19"/>
      <c r="L7" s="19"/>
      <c r="M7" s="19"/>
      <c r="N7" s="19"/>
      <c r="O7" s="19"/>
      <c r="P7" s="32"/>
      <c r="Q7" s="33"/>
      <c r="R7" s="28" t="b">
        <f t="shared" si="0"/>
        <v>0</v>
      </c>
      <c r="S7" s="28" t="b">
        <f t="shared" si="1"/>
        <v>0</v>
      </c>
    </row>
    <row r="8" spans="1:21" ht="15" customHeight="1" x14ac:dyDescent="0.25">
      <c r="A8" s="140" t="s">
        <v>12</v>
      </c>
      <c r="B8" s="140"/>
      <c r="C8" s="140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32"/>
      <c r="Q8" s="33"/>
      <c r="R8" s="28" t="b">
        <f t="shared" si="0"/>
        <v>0</v>
      </c>
      <c r="S8" s="28" t="b">
        <f t="shared" si="1"/>
        <v>0</v>
      </c>
    </row>
    <row r="9" spans="1:21" ht="15" customHeight="1" x14ac:dyDescent="0.2">
      <c r="A9" s="118" t="s">
        <v>11</v>
      </c>
      <c r="B9" s="20">
        <f>COUNT($Q3:$Q252)</f>
        <v>0</v>
      </c>
      <c r="C9" s="5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32"/>
      <c r="Q9" s="33"/>
      <c r="R9" s="28" t="b">
        <f t="shared" si="0"/>
        <v>0</v>
      </c>
      <c r="S9" s="28" t="b">
        <f t="shared" si="1"/>
        <v>0</v>
      </c>
    </row>
    <row r="10" spans="1:21" ht="15" customHeight="1" x14ac:dyDescent="0.2">
      <c r="A10" s="118" t="s">
        <v>7</v>
      </c>
      <c r="B10" s="21">
        <f>MIN($Q3:$Q252)</f>
        <v>0</v>
      </c>
      <c r="C10" s="50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32"/>
      <c r="Q10" s="33"/>
      <c r="R10" s="28" t="b">
        <f t="shared" si="0"/>
        <v>0</v>
      </c>
      <c r="S10" s="28" t="b">
        <f t="shared" si="1"/>
        <v>0</v>
      </c>
    </row>
    <row r="11" spans="1:21" ht="15" customHeight="1" x14ac:dyDescent="0.2">
      <c r="A11" s="118" t="s">
        <v>8</v>
      </c>
      <c r="B11" s="21">
        <f>MAX($Q3:$Q252)</f>
        <v>0</v>
      </c>
      <c r="C11" s="50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32"/>
      <c r="Q11" s="33"/>
      <c r="R11" s="28" t="b">
        <f t="shared" si="0"/>
        <v>0</v>
      </c>
      <c r="S11" s="28" t="b">
        <f t="shared" si="1"/>
        <v>0</v>
      </c>
      <c r="U11" s="3"/>
    </row>
    <row r="12" spans="1:21" ht="15" customHeight="1" x14ac:dyDescent="0.2">
      <c r="A12" s="118" t="s">
        <v>68</v>
      </c>
      <c r="B12" s="21" t="e">
        <f>MEDIAN($Q3:$Q252)</f>
        <v>#NUM!</v>
      </c>
      <c r="C12" s="5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32"/>
      <c r="Q12" s="33"/>
      <c r="R12" s="28" t="b">
        <f t="shared" si="0"/>
        <v>0</v>
      </c>
      <c r="S12" s="28" t="b">
        <f t="shared" si="1"/>
        <v>0</v>
      </c>
    </row>
    <row r="13" spans="1:21" ht="15" customHeight="1" x14ac:dyDescent="0.2">
      <c r="A13" s="118" t="s">
        <v>69</v>
      </c>
      <c r="B13" s="20" t="e">
        <f>IF(ABS($B$16)&gt;$J$58,"&gt; 99%",IF(ABS($B$16)&gt;$I$58,"&gt; 95%","nicht signifikant"))</f>
        <v>#DIV/0!</v>
      </c>
      <c r="C13" s="50"/>
      <c r="D13" s="19"/>
      <c r="E13" s="19"/>
      <c r="F13" s="19"/>
      <c r="G13" s="19"/>
      <c r="H13" s="19"/>
      <c r="I13" s="19"/>
      <c r="J13" s="36"/>
      <c r="K13" s="19"/>
      <c r="L13" s="19"/>
      <c r="M13" s="19"/>
      <c r="N13" s="19"/>
      <c r="O13" s="19"/>
      <c r="P13" s="32"/>
      <c r="Q13" s="33"/>
      <c r="R13" s="28" t="b">
        <f t="shared" si="0"/>
        <v>0</v>
      </c>
      <c r="S13" s="28" t="b">
        <f t="shared" si="1"/>
        <v>0</v>
      </c>
    </row>
    <row r="14" spans="1:21" ht="15" customHeight="1" x14ac:dyDescent="0.2">
      <c r="A14" s="26"/>
      <c r="B14" s="26"/>
      <c r="C14" s="26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32"/>
      <c r="Q14" s="33"/>
      <c r="R14" s="28" t="b">
        <f t="shared" si="0"/>
        <v>0</v>
      </c>
      <c r="S14" s="28" t="b">
        <f t="shared" si="1"/>
        <v>0</v>
      </c>
    </row>
    <row r="15" spans="1:21" ht="15" customHeight="1" x14ac:dyDescent="0.25">
      <c r="A15" s="140" t="s">
        <v>42</v>
      </c>
      <c r="B15" s="140"/>
      <c r="C15" s="14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32"/>
      <c r="Q15" s="33"/>
      <c r="R15" s="28" t="b">
        <f t="shared" si="0"/>
        <v>0</v>
      </c>
      <c r="S15" s="28" t="b">
        <f t="shared" si="1"/>
        <v>0</v>
      </c>
    </row>
    <row r="16" spans="1:21" ht="15" customHeight="1" x14ac:dyDescent="0.2">
      <c r="A16" s="119" t="s">
        <v>83</v>
      </c>
      <c r="B16" s="22" t="e">
        <f>CORREL($Q$3:$Q$252,$P$3:$P$252)</f>
        <v>#DIV/0!</v>
      </c>
      <c r="C16" s="5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32"/>
      <c r="Q16" s="33"/>
      <c r="R16" s="28" t="b">
        <f t="shared" si="0"/>
        <v>0</v>
      </c>
      <c r="S16" s="28" t="b">
        <f t="shared" si="1"/>
        <v>0</v>
      </c>
    </row>
    <row r="17" spans="1:19" ht="15" customHeight="1" x14ac:dyDescent="0.2">
      <c r="A17" s="119" t="s">
        <v>84</v>
      </c>
      <c r="B17" s="22" t="e">
        <f>INTERCEPT($Q$3:$Q$252,$P$3:$P$252)</f>
        <v>#DIV/0!</v>
      </c>
      <c r="C17" s="5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32"/>
      <c r="Q17" s="33"/>
      <c r="R17" s="28" t="b">
        <f t="shared" si="0"/>
        <v>0</v>
      </c>
      <c r="S17" s="28" t="b">
        <f t="shared" si="1"/>
        <v>0</v>
      </c>
    </row>
    <row r="18" spans="1:19" ht="15" customHeight="1" x14ac:dyDescent="0.2">
      <c r="A18" s="119" t="s">
        <v>39</v>
      </c>
      <c r="B18" s="22" t="e">
        <f>SLOPE($Q$3:$Q$252,$P$3:$P$252)</f>
        <v>#DIV/0!</v>
      </c>
      <c r="C18" s="50"/>
      <c r="D18" s="19"/>
      <c r="E18" s="19"/>
      <c r="F18" s="19"/>
      <c r="G18" s="19"/>
      <c r="H18" s="19"/>
      <c r="I18" s="19"/>
      <c r="J18" s="37"/>
      <c r="K18" s="19"/>
      <c r="L18" s="19"/>
      <c r="M18" s="19"/>
      <c r="N18" s="19"/>
      <c r="O18" s="19"/>
      <c r="P18" s="32"/>
      <c r="Q18" s="33"/>
      <c r="R18" s="28" t="b">
        <f t="shared" si="0"/>
        <v>0</v>
      </c>
      <c r="S18" s="28" t="b">
        <f t="shared" si="1"/>
        <v>0</v>
      </c>
    </row>
    <row r="19" spans="1:19" ht="15" customHeight="1" x14ac:dyDescent="0.2">
      <c r="A19" s="26"/>
      <c r="B19" s="26"/>
      <c r="C19" s="26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32"/>
      <c r="Q19" s="33"/>
      <c r="R19" s="28" t="b">
        <f t="shared" si="0"/>
        <v>0</v>
      </c>
      <c r="S19" s="28" t="b">
        <f t="shared" si="1"/>
        <v>0</v>
      </c>
    </row>
    <row r="20" spans="1:19" ht="15" customHeight="1" x14ac:dyDescent="0.25">
      <c r="A20" s="140" t="s">
        <v>63</v>
      </c>
      <c r="B20" s="140"/>
      <c r="C20" s="140"/>
      <c r="D20" s="19"/>
      <c r="E20" s="19"/>
      <c r="F20" s="19"/>
      <c r="G20" s="19"/>
      <c r="H20" s="19"/>
      <c r="I20" s="35"/>
      <c r="J20" s="19"/>
      <c r="K20" s="38"/>
      <c r="L20" s="19"/>
      <c r="M20" s="19"/>
      <c r="N20" s="19"/>
      <c r="O20" s="19"/>
      <c r="P20" s="32"/>
      <c r="Q20" s="33"/>
      <c r="R20" s="28" t="b">
        <f t="shared" si="0"/>
        <v>0</v>
      </c>
      <c r="S20" s="28" t="b">
        <f t="shared" si="1"/>
        <v>0</v>
      </c>
    </row>
    <row r="21" spans="1:19" ht="15" customHeight="1" x14ac:dyDescent="0.2">
      <c r="A21" s="118" t="s">
        <v>7</v>
      </c>
      <c r="B21" s="21">
        <f>MIN($S$3:$S$252)</f>
        <v>0</v>
      </c>
      <c r="C21" s="5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32"/>
      <c r="Q21" s="33"/>
      <c r="R21" s="28" t="b">
        <f t="shared" si="0"/>
        <v>0</v>
      </c>
      <c r="S21" s="28" t="b">
        <f t="shared" si="1"/>
        <v>0</v>
      </c>
    </row>
    <row r="22" spans="1:19" ht="15" customHeight="1" x14ac:dyDescent="0.2">
      <c r="A22" s="118" t="s">
        <v>8</v>
      </c>
      <c r="B22" s="21">
        <f>MAX($S$3:$S$252)</f>
        <v>0</v>
      </c>
      <c r="C22" s="5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32"/>
      <c r="Q22" s="33"/>
      <c r="R22" s="28" t="b">
        <f t="shared" si="0"/>
        <v>0</v>
      </c>
      <c r="S22" s="28" t="b">
        <f t="shared" si="1"/>
        <v>0</v>
      </c>
    </row>
    <row r="23" spans="1:19" ht="15" customHeight="1" x14ac:dyDescent="0.2">
      <c r="A23" s="118" t="s">
        <v>68</v>
      </c>
      <c r="B23" s="21" t="e">
        <f>MEDIAN($S$3:$S$252)</f>
        <v>#NUM!</v>
      </c>
      <c r="C23" s="5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32"/>
      <c r="Q23" s="33"/>
      <c r="R23" s="28" t="b">
        <f t="shared" si="0"/>
        <v>0</v>
      </c>
      <c r="S23" s="28" t="b">
        <f t="shared" si="1"/>
        <v>0</v>
      </c>
    </row>
    <row r="24" spans="1:19" ht="15" customHeight="1" x14ac:dyDescent="0.2">
      <c r="A24" s="118" t="s">
        <v>73</v>
      </c>
      <c r="B24" s="21" t="e">
        <f>AVERAGE($S$3:$S$252)</f>
        <v>#DIV/0!</v>
      </c>
      <c r="C24" s="5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2"/>
      <c r="Q24" s="33"/>
      <c r="R24" s="28" t="b">
        <f t="shared" si="0"/>
        <v>0</v>
      </c>
      <c r="S24" s="28" t="b">
        <f t="shared" si="1"/>
        <v>0</v>
      </c>
    </row>
    <row r="25" spans="1:19" ht="15" customHeight="1" x14ac:dyDescent="0.2">
      <c r="A25" s="118" t="s">
        <v>75</v>
      </c>
      <c r="B25" s="23" t="e">
        <f>STDEV($S$3:$S$252)</f>
        <v>#DIV/0!</v>
      </c>
      <c r="C25" s="5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32"/>
      <c r="Q25" s="33"/>
      <c r="R25" s="28" t="b">
        <f t="shared" si="0"/>
        <v>0</v>
      </c>
      <c r="S25" s="28" t="b">
        <f t="shared" si="1"/>
        <v>0</v>
      </c>
    </row>
    <row r="26" spans="1:19" ht="15" customHeight="1" x14ac:dyDescent="0.25">
      <c r="A26" s="118" t="s">
        <v>92</v>
      </c>
      <c r="B26" s="24" t="e">
        <f>((NORMINV(0.83,B24,B25)-B23)-(B23-NORMINV(0.17,B24,B25)))/(NORMINV(0.83,B24,B25)-NORMINV(0.17,B24,B25))</f>
        <v>#DIV/0!</v>
      </c>
      <c r="C26" s="50"/>
      <c r="D26" s="19"/>
      <c r="E26" s="144"/>
      <c r="F26" s="144"/>
      <c r="G26" s="144"/>
      <c r="H26" s="19"/>
      <c r="I26" s="19"/>
      <c r="J26" s="19"/>
      <c r="K26" s="19"/>
      <c r="L26" s="19"/>
      <c r="M26" s="19"/>
      <c r="N26" s="19"/>
      <c r="O26" s="19"/>
      <c r="P26" s="32"/>
      <c r="Q26" s="33"/>
      <c r="R26" s="28" t="b">
        <f t="shared" si="0"/>
        <v>0</v>
      </c>
      <c r="S26" s="28" t="b">
        <f t="shared" si="1"/>
        <v>0</v>
      </c>
    </row>
    <row r="27" spans="1:19" ht="15" customHeight="1" x14ac:dyDescent="0.2">
      <c r="A27" s="118" t="s">
        <v>85</v>
      </c>
      <c r="B27" s="21" t="e">
        <f>NORMINV(0.95,0,B25)</f>
        <v>#DIV/0!</v>
      </c>
      <c r="C27" s="5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32"/>
      <c r="Q27" s="33"/>
      <c r="R27" s="28" t="b">
        <f t="shared" si="0"/>
        <v>0</v>
      </c>
      <c r="S27" s="28" t="b">
        <f t="shared" si="1"/>
        <v>0</v>
      </c>
    </row>
    <row r="28" spans="1:19" ht="15" customHeight="1" x14ac:dyDescent="0.2">
      <c r="A28" s="118" t="s">
        <v>86</v>
      </c>
      <c r="B28" s="21" t="e">
        <f>NORMINV(0.98,0,B25)</f>
        <v>#DIV/0!</v>
      </c>
      <c r="C28" s="5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32"/>
      <c r="Q28" s="33"/>
      <c r="R28" s="28" t="b">
        <f t="shared" si="0"/>
        <v>0</v>
      </c>
      <c r="S28" s="28" t="b">
        <f t="shared" si="1"/>
        <v>0</v>
      </c>
    </row>
    <row r="29" spans="1:19" ht="15" customHeight="1" x14ac:dyDescent="0.2">
      <c r="A29" s="118" t="s">
        <v>44</v>
      </c>
      <c r="B29" s="20" t="e">
        <f>IF(((B22-B21)/B25)&gt;INDEX(XX!B4:'XX'!B150,B9-3),"ja","nein")</f>
        <v>#DIV/0!</v>
      </c>
      <c r="C29" s="5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32"/>
      <c r="Q29" s="33"/>
      <c r="R29" s="28" t="b">
        <f t="shared" si="0"/>
        <v>0</v>
      </c>
      <c r="S29" s="28" t="b">
        <f t="shared" si="1"/>
        <v>0</v>
      </c>
    </row>
    <row r="30" spans="1:19" ht="15" customHeight="1" x14ac:dyDescent="0.2">
      <c r="A30" s="26"/>
      <c r="B30" s="26"/>
      <c r="C30" s="26"/>
      <c r="D30" s="19"/>
      <c r="E30" s="47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32"/>
      <c r="Q30" s="33"/>
      <c r="R30" s="28" t="b">
        <f t="shared" si="0"/>
        <v>0</v>
      </c>
      <c r="S30" s="28" t="b">
        <f t="shared" si="1"/>
        <v>0</v>
      </c>
    </row>
    <row r="31" spans="1:19" ht="15" customHeight="1" x14ac:dyDescent="0.25">
      <c r="A31" s="164" t="s">
        <v>88</v>
      </c>
      <c r="B31" s="164"/>
      <c r="C31" s="164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32"/>
      <c r="Q31" s="33"/>
      <c r="R31" s="28" t="b">
        <f t="shared" si="0"/>
        <v>0</v>
      </c>
      <c r="S31" s="28" t="b">
        <f t="shared" si="1"/>
        <v>0</v>
      </c>
    </row>
    <row r="32" spans="1:19" ht="15" customHeight="1" x14ac:dyDescent="0.2">
      <c r="A32" s="131" t="s">
        <v>89</v>
      </c>
      <c r="B32" s="30">
        <v>600</v>
      </c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32"/>
      <c r="Q32" s="33"/>
      <c r="R32" s="28" t="b">
        <f t="shared" si="0"/>
        <v>0</v>
      </c>
      <c r="S32" s="28" t="b">
        <f t="shared" si="1"/>
        <v>0</v>
      </c>
    </row>
    <row r="33" spans="1:19" ht="15" customHeight="1" x14ac:dyDescent="0.2">
      <c r="A33" s="26"/>
      <c r="B33" s="26"/>
      <c r="C33" s="26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32"/>
      <c r="Q33" s="33"/>
      <c r="R33" s="28" t="b">
        <f t="shared" si="0"/>
        <v>0</v>
      </c>
      <c r="S33" s="28" t="b">
        <f t="shared" si="1"/>
        <v>0</v>
      </c>
    </row>
    <row r="34" spans="1:19" ht="15" customHeight="1" x14ac:dyDescent="0.25">
      <c r="A34" s="140" t="s">
        <v>59</v>
      </c>
      <c r="B34" s="140"/>
      <c r="C34" s="140"/>
      <c r="D34" s="19"/>
      <c r="E34" s="120" t="s">
        <v>60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32"/>
      <c r="Q34" s="33"/>
      <c r="R34" s="28" t="b">
        <f t="shared" si="0"/>
        <v>0</v>
      </c>
      <c r="S34" s="28" t="b">
        <f t="shared" si="1"/>
        <v>0</v>
      </c>
    </row>
    <row r="35" spans="1:19" ht="15" customHeight="1" x14ac:dyDescent="0.2">
      <c r="A35" s="131" t="s">
        <v>87</v>
      </c>
      <c r="B35" s="31">
        <v>38353</v>
      </c>
      <c r="C35" s="31">
        <v>39233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32"/>
      <c r="Q35" s="33"/>
      <c r="R35" s="28" t="b">
        <f t="shared" si="0"/>
        <v>0</v>
      </c>
      <c r="S35" s="28" t="b">
        <f t="shared" si="1"/>
        <v>0</v>
      </c>
    </row>
    <row r="36" spans="1:19" ht="15" customHeight="1" x14ac:dyDescent="0.2">
      <c r="A36" s="118" t="s">
        <v>54</v>
      </c>
      <c r="B36" s="25">
        <f>B35-B32</f>
        <v>37753</v>
      </c>
      <c r="C36" s="25">
        <f>C35-B32</f>
        <v>38633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32"/>
      <c r="Q36" s="33"/>
      <c r="R36" s="28" t="b">
        <f t="shared" si="0"/>
        <v>0</v>
      </c>
      <c r="S36" s="28" t="b">
        <f t="shared" si="1"/>
        <v>0</v>
      </c>
    </row>
    <row r="37" spans="1:19" ht="15" customHeight="1" x14ac:dyDescent="0.2">
      <c r="A37" s="26"/>
      <c r="B37" s="26"/>
      <c r="C37" s="27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32"/>
      <c r="Q37" s="33"/>
      <c r="R37" s="28" t="b">
        <f t="shared" si="0"/>
        <v>0</v>
      </c>
      <c r="S37" s="28" t="b">
        <f t="shared" si="1"/>
        <v>0</v>
      </c>
    </row>
    <row r="38" spans="1:19" ht="15" customHeight="1" x14ac:dyDescent="0.25">
      <c r="A38" s="140" t="s">
        <v>90</v>
      </c>
      <c r="B38" s="140"/>
      <c r="C38" s="140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32"/>
      <c r="Q38" s="33"/>
      <c r="R38" s="28" t="b">
        <f t="shared" si="0"/>
        <v>0</v>
      </c>
      <c r="S38" s="28" t="b">
        <f t="shared" si="1"/>
        <v>0</v>
      </c>
    </row>
    <row r="39" spans="1:19" ht="15" customHeight="1" x14ac:dyDescent="0.2">
      <c r="A39" s="119" t="s">
        <v>67</v>
      </c>
      <c r="B39" s="21" t="e">
        <f>MAX($B$17+$B$18*$B36+$B$28+0.5*$B$6,$B$17+$B$18*$C36+$B$28+0.5*$B$6,$B$6)</f>
        <v>#DIV/0!</v>
      </c>
      <c r="C39" s="50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32"/>
      <c r="Q39" s="33"/>
      <c r="R39" s="28" t="b">
        <f t="shared" si="0"/>
        <v>0</v>
      </c>
      <c r="S39" s="28" t="b">
        <f t="shared" si="1"/>
        <v>0</v>
      </c>
    </row>
    <row r="40" spans="1:19" ht="15" x14ac:dyDescent="0.2">
      <c r="A40" s="119" t="s">
        <v>61</v>
      </c>
      <c r="B40" s="21" t="e">
        <f>INDEX($R$3:$R$252,B9)+$B$28+0.5*$B$6</f>
        <v>#DIV/0!</v>
      </c>
      <c r="C40" s="50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32"/>
      <c r="Q40" s="33"/>
      <c r="R40" s="28" t="b">
        <f t="shared" si="0"/>
        <v>0</v>
      </c>
      <c r="S40" s="28" t="b">
        <f t="shared" si="1"/>
        <v>0</v>
      </c>
    </row>
    <row r="41" spans="1:19" ht="15.75" x14ac:dyDescent="0.25">
      <c r="A41" s="117" t="s">
        <v>81</v>
      </c>
      <c r="B41" s="96" t="e">
        <f>IF($B$18&gt;0,B39,MAX(B40,B39))</f>
        <v>#DIV/0!</v>
      </c>
      <c r="C41" s="51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32"/>
      <c r="Q41" s="33"/>
      <c r="R41" s="28" t="b">
        <f t="shared" si="0"/>
        <v>0</v>
      </c>
      <c r="S41" s="28" t="b">
        <f t="shared" si="1"/>
        <v>0</v>
      </c>
    </row>
    <row r="42" spans="1:19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32"/>
      <c r="Q42" s="33"/>
      <c r="R42" s="28" t="b">
        <f t="shared" si="0"/>
        <v>0</v>
      </c>
      <c r="S42" s="28" t="b">
        <f t="shared" si="1"/>
        <v>0</v>
      </c>
    </row>
    <row r="43" spans="1:19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32"/>
      <c r="Q43" s="33"/>
      <c r="R43" s="28" t="b">
        <f t="shared" si="0"/>
        <v>0</v>
      </c>
      <c r="S43" s="28" t="b">
        <f t="shared" si="1"/>
        <v>0</v>
      </c>
    </row>
    <row r="44" spans="1:19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32"/>
      <c r="Q44" s="33"/>
      <c r="R44" s="28" t="b">
        <f t="shared" si="0"/>
        <v>0</v>
      </c>
      <c r="S44" s="28" t="b">
        <f t="shared" si="1"/>
        <v>0</v>
      </c>
    </row>
    <row r="45" spans="1:19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32"/>
      <c r="Q45" s="33"/>
      <c r="R45" s="28" t="b">
        <f t="shared" si="0"/>
        <v>0</v>
      </c>
      <c r="S45" s="28" t="b">
        <f t="shared" si="1"/>
        <v>0</v>
      </c>
    </row>
    <row r="46" spans="1:19" x14ac:dyDescent="0.2">
      <c r="A46" s="19"/>
      <c r="B46" s="37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32"/>
      <c r="Q46" s="33"/>
      <c r="R46" s="28" t="b">
        <f t="shared" si="0"/>
        <v>0</v>
      </c>
      <c r="S46" s="28" t="b">
        <f t="shared" si="1"/>
        <v>0</v>
      </c>
    </row>
    <row r="47" spans="1:19" x14ac:dyDescent="0.2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32"/>
      <c r="Q47" s="33"/>
      <c r="R47" s="28" t="b">
        <f t="shared" si="0"/>
        <v>0</v>
      </c>
      <c r="S47" s="28" t="b">
        <f t="shared" si="1"/>
        <v>0</v>
      </c>
    </row>
    <row r="48" spans="1:19" x14ac:dyDescent="0.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32"/>
      <c r="Q48" s="33"/>
      <c r="R48" s="28" t="b">
        <f t="shared" si="0"/>
        <v>0</v>
      </c>
      <c r="S48" s="28" t="b">
        <f t="shared" si="1"/>
        <v>0</v>
      </c>
    </row>
    <row r="49" spans="1:19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32"/>
      <c r="Q49" s="33"/>
      <c r="R49" s="28" t="b">
        <f t="shared" si="0"/>
        <v>0</v>
      </c>
      <c r="S49" s="28" t="b">
        <f t="shared" si="1"/>
        <v>0</v>
      </c>
    </row>
    <row r="50" spans="1:19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32"/>
      <c r="Q50" s="33"/>
      <c r="R50" s="28" t="b">
        <f t="shared" si="0"/>
        <v>0</v>
      </c>
      <c r="S50" s="28" t="b">
        <f t="shared" si="1"/>
        <v>0</v>
      </c>
    </row>
    <row r="51" spans="1:19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32"/>
      <c r="Q51" s="33"/>
      <c r="R51" s="28" t="b">
        <f t="shared" si="0"/>
        <v>0</v>
      </c>
      <c r="S51" s="28" t="b">
        <f t="shared" si="1"/>
        <v>0</v>
      </c>
    </row>
    <row r="52" spans="1:19" x14ac:dyDescent="0.2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32"/>
      <c r="Q52" s="33"/>
      <c r="R52" s="28" t="b">
        <f t="shared" si="0"/>
        <v>0</v>
      </c>
      <c r="S52" s="28" t="b">
        <f t="shared" si="1"/>
        <v>0</v>
      </c>
    </row>
    <row r="53" spans="1:19" x14ac:dyDescent="0.2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32"/>
      <c r="Q53" s="33"/>
      <c r="R53" s="28" t="b">
        <f t="shared" si="0"/>
        <v>0</v>
      </c>
      <c r="S53" s="28" t="b">
        <f t="shared" si="1"/>
        <v>0</v>
      </c>
    </row>
    <row r="54" spans="1:19" x14ac:dyDescent="0.2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32"/>
      <c r="Q54" s="33"/>
      <c r="R54" s="28" t="b">
        <f t="shared" si="0"/>
        <v>0</v>
      </c>
      <c r="S54" s="28" t="b">
        <f t="shared" si="1"/>
        <v>0</v>
      </c>
    </row>
    <row r="55" spans="1:19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32"/>
      <c r="Q55" s="33"/>
      <c r="R55" s="28" t="b">
        <f t="shared" si="0"/>
        <v>0</v>
      </c>
      <c r="S55" s="28" t="b">
        <f t="shared" si="1"/>
        <v>0</v>
      </c>
    </row>
    <row r="56" spans="1:19" x14ac:dyDescent="0.2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32"/>
      <c r="Q56" s="33"/>
      <c r="R56" s="28" t="b">
        <f t="shared" si="0"/>
        <v>0</v>
      </c>
      <c r="S56" s="28" t="b">
        <f t="shared" si="1"/>
        <v>0</v>
      </c>
    </row>
    <row r="57" spans="1:19" x14ac:dyDescent="0.2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32"/>
      <c r="Q57" s="33"/>
      <c r="R57" s="28" t="b">
        <f t="shared" si="0"/>
        <v>0</v>
      </c>
      <c r="S57" s="28" t="b">
        <f t="shared" si="1"/>
        <v>0</v>
      </c>
    </row>
    <row r="58" spans="1:19" x14ac:dyDescent="0.2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32"/>
      <c r="Q58" s="33"/>
      <c r="R58" s="28" t="b">
        <f t="shared" si="0"/>
        <v>0</v>
      </c>
      <c r="S58" s="28" t="b">
        <f t="shared" si="1"/>
        <v>0</v>
      </c>
    </row>
    <row r="59" spans="1:19" x14ac:dyDescent="0.2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32"/>
      <c r="Q59" s="33"/>
      <c r="R59" s="28" t="b">
        <f t="shared" si="0"/>
        <v>0</v>
      </c>
      <c r="S59" s="28" t="b">
        <f t="shared" si="1"/>
        <v>0</v>
      </c>
    </row>
    <row r="60" spans="1:19" x14ac:dyDescent="0.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32"/>
      <c r="Q60" s="33"/>
      <c r="R60" s="28" t="b">
        <f t="shared" si="0"/>
        <v>0</v>
      </c>
      <c r="S60" s="28" t="b">
        <f t="shared" si="1"/>
        <v>0</v>
      </c>
    </row>
    <row r="61" spans="1:19" x14ac:dyDescent="0.2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32"/>
      <c r="Q61" s="33"/>
      <c r="R61" s="28" t="b">
        <f t="shared" si="0"/>
        <v>0</v>
      </c>
      <c r="S61" s="28" t="b">
        <f t="shared" si="1"/>
        <v>0</v>
      </c>
    </row>
    <row r="62" spans="1:19" x14ac:dyDescent="0.2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32"/>
      <c r="Q62" s="33"/>
      <c r="R62" s="28" t="b">
        <f t="shared" si="0"/>
        <v>0</v>
      </c>
      <c r="S62" s="28" t="b">
        <f t="shared" si="1"/>
        <v>0</v>
      </c>
    </row>
    <row r="63" spans="1:19" x14ac:dyDescent="0.2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32"/>
      <c r="Q63" s="33"/>
      <c r="R63" s="28" t="b">
        <f t="shared" si="0"/>
        <v>0</v>
      </c>
      <c r="S63" s="28" t="b">
        <f t="shared" si="1"/>
        <v>0</v>
      </c>
    </row>
    <row r="64" spans="1:19" x14ac:dyDescent="0.2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32"/>
      <c r="Q64" s="33"/>
      <c r="R64" s="28" t="b">
        <f t="shared" si="0"/>
        <v>0</v>
      </c>
      <c r="S64" s="28" t="b">
        <f t="shared" si="1"/>
        <v>0</v>
      </c>
    </row>
    <row r="65" spans="1:19" x14ac:dyDescent="0.2">
      <c r="A65" s="19"/>
      <c r="B65" s="19"/>
      <c r="C65" s="19"/>
      <c r="D65" s="19"/>
      <c r="E65" s="39"/>
      <c r="F65" s="39"/>
      <c r="G65" s="39"/>
      <c r="H65" s="39"/>
      <c r="I65" s="39"/>
      <c r="J65" s="39"/>
      <c r="K65" s="39"/>
      <c r="L65" s="40"/>
      <c r="M65" s="19"/>
      <c r="N65" s="19"/>
      <c r="O65" s="19"/>
      <c r="P65" s="32"/>
      <c r="Q65" s="33"/>
      <c r="R65" s="28" t="b">
        <f t="shared" si="0"/>
        <v>0</v>
      </c>
      <c r="S65" s="28" t="b">
        <f t="shared" si="1"/>
        <v>0</v>
      </c>
    </row>
    <row r="66" spans="1:19" x14ac:dyDescent="0.2">
      <c r="A66" s="19"/>
      <c r="B66" s="19"/>
      <c r="C66" s="19"/>
      <c r="D66" s="19"/>
      <c r="E66" s="39"/>
      <c r="F66" s="39"/>
      <c r="G66" s="39"/>
      <c r="H66" s="39"/>
      <c r="I66" s="39"/>
      <c r="J66" s="39"/>
      <c r="K66" s="39"/>
      <c r="L66" s="40"/>
      <c r="M66" s="19"/>
      <c r="N66" s="19"/>
      <c r="O66" s="19"/>
      <c r="P66" s="32"/>
      <c r="Q66" s="33"/>
      <c r="R66" s="28" t="b">
        <f t="shared" si="0"/>
        <v>0</v>
      </c>
      <c r="S66" s="28" t="b">
        <f t="shared" si="1"/>
        <v>0</v>
      </c>
    </row>
    <row r="67" spans="1:19" x14ac:dyDescent="0.2">
      <c r="A67" s="19"/>
      <c r="B67" s="19"/>
      <c r="C67" s="19"/>
      <c r="D67" s="19"/>
      <c r="E67" s="39"/>
      <c r="F67" s="39"/>
      <c r="G67" s="39"/>
      <c r="H67" s="39"/>
      <c r="I67" s="39"/>
      <c r="J67" s="39"/>
      <c r="K67" s="39"/>
      <c r="L67" s="40"/>
      <c r="M67" s="19"/>
      <c r="N67" s="19"/>
      <c r="O67" s="19"/>
      <c r="P67" s="32"/>
      <c r="Q67" s="33"/>
      <c r="R67" s="28" t="b">
        <f t="shared" si="0"/>
        <v>0</v>
      </c>
      <c r="S67" s="28" t="b">
        <f t="shared" si="1"/>
        <v>0</v>
      </c>
    </row>
    <row r="68" spans="1:19" x14ac:dyDescent="0.2">
      <c r="A68" s="19"/>
      <c r="B68" s="19"/>
      <c r="C68" s="19"/>
      <c r="D68" s="19"/>
      <c r="E68" s="39"/>
      <c r="F68" s="39"/>
      <c r="G68" s="39"/>
      <c r="H68" s="39"/>
      <c r="I68" s="39"/>
      <c r="J68" s="39"/>
      <c r="K68" s="39"/>
      <c r="L68" s="40"/>
      <c r="M68" s="19"/>
      <c r="N68" s="19"/>
      <c r="O68" s="19"/>
      <c r="P68" s="32"/>
      <c r="Q68" s="33"/>
      <c r="R68" s="28" t="b">
        <f t="shared" ref="R68:R131" si="2">IF($P68&gt;0,$B$17+$B$18*$P68)</f>
        <v>0</v>
      </c>
      <c r="S68" s="28" t="b">
        <f t="shared" ref="S68:S131" si="3">IF($P68&gt;0,$Q68-$R68)</f>
        <v>0</v>
      </c>
    </row>
    <row r="69" spans="1:19" x14ac:dyDescent="0.2">
      <c r="A69" s="19"/>
      <c r="B69" s="19"/>
      <c r="C69" s="19"/>
      <c r="D69" s="19"/>
      <c r="E69" s="39"/>
      <c r="F69" s="39"/>
      <c r="G69" s="39"/>
      <c r="H69" s="39"/>
      <c r="I69" s="39"/>
      <c r="J69" s="39"/>
      <c r="K69" s="39"/>
      <c r="L69" s="40"/>
      <c r="M69" s="19"/>
      <c r="N69" s="19"/>
      <c r="O69" s="19"/>
      <c r="P69" s="32"/>
      <c r="Q69" s="33"/>
      <c r="R69" s="28" t="b">
        <f t="shared" si="2"/>
        <v>0</v>
      </c>
      <c r="S69" s="28" t="b">
        <f t="shared" si="3"/>
        <v>0</v>
      </c>
    </row>
    <row r="70" spans="1:19" x14ac:dyDescent="0.2">
      <c r="A70" s="19"/>
      <c r="B70" s="19"/>
      <c r="C70" s="19"/>
      <c r="D70" s="19"/>
      <c r="E70" s="39"/>
      <c r="F70" s="39"/>
      <c r="G70" s="39"/>
      <c r="H70" s="39"/>
      <c r="I70" s="39"/>
      <c r="J70" s="39"/>
      <c r="K70" s="39"/>
      <c r="L70" s="40"/>
      <c r="M70" s="19"/>
      <c r="N70" s="19"/>
      <c r="O70" s="19"/>
      <c r="P70" s="32"/>
      <c r="Q70" s="33"/>
      <c r="R70" s="28" t="b">
        <f t="shared" si="2"/>
        <v>0</v>
      </c>
      <c r="S70" s="28" t="b">
        <f t="shared" si="3"/>
        <v>0</v>
      </c>
    </row>
    <row r="71" spans="1:19" x14ac:dyDescent="0.2">
      <c r="A71" s="19"/>
      <c r="B71" s="19"/>
      <c r="C71" s="19"/>
      <c r="D71" s="19"/>
      <c r="E71" s="39"/>
      <c r="F71" s="39"/>
      <c r="G71" s="39"/>
      <c r="H71" s="39"/>
      <c r="I71" s="39"/>
      <c r="J71" s="39"/>
      <c r="K71" s="39"/>
      <c r="L71" s="40"/>
      <c r="M71" s="19"/>
      <c r="N71" s="19"/>
      <c r="O71" s="19"/>
      <c r="P71" s="32"/>
      <c r="Q71" s="33"/>
      <c r="R71" s="28" t="b">
        <f t="shared" si="2"/>
        <v>0</v>
      </c>
      <c r="S71" s="28" t="b">
        <f t="shared" si="3"/>
        <v>0</v>
      </c>
    </row>
    <row r="72" spans="1:19" x14ac:dyDescent="0.2">
      <c r="A72" s="19"/>
      <c r="B72" s="19"/>
      <c r="C72" s="19"/>
      <c r="D72" s="19"/>
      <c r="E72" s="39"/>
      <c r="F72" s="39"/>
      <c r="G72" s="39"/>
      <c r="H72" s="39"/>
      <c r="I72" s="39"/>
      <c r="J72" s="39"/>
      <c r="K72" s="39"/>
      <c r="L72" s="40"/>
      <c r="M72" s="19"/>
      <c r="N72" s="19"/>
      <c r="O72" s="19"/>
      <c r="P72" s="32"/>
      <c r="Q72" s="33"/>
      <c r="R72" s="28" t="b">
        <f t="shared" si="2"/>
        <v>0</v>
      </c>
      <c r="S72" s="28" t="b">
        <f t="shared" si="3"/>
        <v>0</v>
      </c>
    </row>
    <row r="73" spans="1:19" x14ac:dyDescent="0.2">
      <c r="A73" s="19"/>
      <c r="B73" s="19"/>
      <c r="C73" s="19"/>
      <c r="D73" s="19"/>
      <c r="E73" s="39"/>
      <c r="F73" s="39"/>
      <c r="G73" s="39"/>
      <c r="H73" s="39"/>
      <c r="I73" s="39"/>
      <c r="J73" s="39"/>
      <c r="K73" s="39"/>
      <c r="L73" s="40"/>
      <c r="M73" s="19"/>
      <c r="N73" s="19"/>
      <c r="O73" s="19"/>
      <c r="P73" s="32"/>
      <c r="Q73" s="33"/>
      <c r="R73" s="28" t="b">
        <f t="shared" si="2"/>
        <v>0</v>
      </c>
      <c r="S73" s="28" t="b">
        <f t="shared" si="3"/>
        <v>0</v>
      </c>
    </row>
    <row r="74" spans="1:19" x14ac:dyDescent="0.2">
      <c r="A74" s="19"/>
      <c r="B74" s="19"/>
      <c r="C74" s="19"/>
      <c r="D74" s="19"/>
      <c r="E74" s="39"/>
      <c r="F74" s="39"/>
      <c r="G74" s="39"/>
      <c r="H74" s="39"/>
      <c r="I74" s="39"/>
      <c r="J74" s="39"/>
      <c r="K74" s="39"/>
      <c r="L74" s="40"/>
      <c r="M74" s="19"/>
      <c r="N74" s="19"/>
      <c r="O74" s="19"/>
      <c r="P74" s="32"/>
      <c r="Q74" s="33"/>
      <c r="R74" s="28" t="b">
        <f t="shared" si="2"/>
        <v>0</v>
      </c>
      <c r="S74" s="28" t="b">
        <f t="shared" si="3"/>
        <v>0</v>
      </c>
    </row>
    <row r="75" spans="1:19" x14ac:dyDescent="0.2">
      <c r="A75" s="19"/>
      <c r="B75" s="19"/>
      <c r="C75" s="19"/>
      <c r="D75" s="19"/>
      <c r="E75" s="39"/>
      <c r="F75" s="39"/>
      <c r="G75" s="39"/>
      <c r="H75" s="39"/>
      <c r="I75" s="39"/>
      <c r="J75" s="39"/>
      <c r="K75" s="39"/>
      <c r="L75" s="40"/>
      <c r="M75" s="19"/>
      <c r="N75" s="19"/>
      <c r="O75" s="19"/>
      <c r="P75" s="32"/>
      <c r="Q75" s="33"/>
      <c r="R75" s="28" t="b">
        <f t="shared" si="2"/>
        <v>0</v>
      </c>
      <c r="S75" s="28" t="b">
        <f t="shared" si="3"/>
        <v>0</v>
      </c>
    </row>
    <row r="76" spans="1:19" x14ac:dyDescent="0.2">
      <c r="A76" s="19"/>
      <c r="B76" s="19"/>
      <c r="C76" s="19"/>
      <c r="D76" s="19"/>
      <c r="E76" s="39"/>
      <c r="F76" s="39"/>
      <c r="G76" s="39"/>
      <c r="H76" s="39"/>
      <c r="I76" s="39"/>
      <c r="J76" s="39"/>
      <c r="K76" s="39"/>
      <c r="L76" s="40"/>
      <c r="M76" s="19"/>
      <c r="N76" s="19"/>
      <c r="O76" s="19"/>
      <c r="P76" s="32"/>
      <c r="Q76" s="33"/>
      <c r="R76" s="28" t="b">
        <f t="shared" si="2"/>
        <v>0</v>
      </c>
      <c r="S76" s="28" t="b">
        <f t="shared" si="3"/>
        <v>0</v>
      </c>
    </row>
    <row r="77" spans="1:19" x14ac:dyDescent="0.2">
      <c r="A77" s="19"/>
      <c r="B77" s="19"/>
      <c r="C77" s="19"/>
      <c r="D77" s="19"/>
      <c r="E77" s="45"/>
      <c r="F77" s="39"/>
      <c r="G77" s="39"/>
      <c r="H77" s="39"/>
      <c r="I77" s="19"/>
      <c r="J77" s="19"/>
      <c r="K77" s="41"/>
      <c r="L77" s="40"/>
      <c r="M77" s="19"/>
      <c r="N77" s="19"/>
      <c r="O77" s="19"/>
      <c r="P77" s="32"/>
      <c r="Q77" s="33"/>
      <c r="R77" s="28" t="b">
        <f t="shared" si="2"/>
        <v>0</v>
      </c>
      <c r="S77" s="28" t="b">
        <f t="shared" si="3"/>
        <v>0</v>
      </c>
    </row>
    <row r="78" spans="1:19" x14ac:dyDescent="0.2">
      <c r="A78" s="19"/>
      <c r="B78" s="19"/>
      <c r="C78" s="19"/>
      <c r="D78" s="19"/>
      <c r="E78" s="45"/>
      <c r="F78" s="39"/>
      <c r="G78" s="39"/>
      <c r="H78" s="39"/>
      <c r="I78" s="42"/>
      <c r="J78" s="43"/>
      <c r="K78" s="41"/>
      <c r="L78" s="40"/>
      <c r="M78" s="19"/>
      <c r="N78" s="19"/>
      <c r="O78" s="19"/>
      <c r="P78" s="32"/>
      <c r="Q78" s="33"/>
      <c r="R78" s="28" t="b">
        <f t="shared" si="2"/>
        <v>0</v>
      </c>
      <c r="S78" s="28" t="b">
        <f t="shared" si="3"/>
        <v>0</v>
      </c>
    </row>
    <row r="79" spans="1:19" x14ac:dyDescent="0.2">
      <c r="A79" s="19"/>
      <c r="B79" s="19"/>
      <c r="C79" s="19"/>
      <c r="D79" s="19"/>
      <c r="E79" s="45"/>
      <c r="F79" s="39"/>
      <c r="G79" s="39"/>
      <c r="H79" s="39"/>
      <c r="I79" s="42"/>
      <c r="J79" s="43"/>
      <c r="K79" s="41"/>
      <c r="L79" s="40"/>
      <c r="M79" s="19"/>
      <c r="N79" s="19"/>
      <c r="O79" s="19"/>
      <c r="P79" s="32"/>
      <c r="Q79" s="33"/>
      <c r="R79" s="28" t="b">
        <f t="shared" si="2"/>
        <v>0</v>
      </c>
      <c r="S79" s="28" t="b">
        <f t="shared" si="3"/>
        <v>0</v>
      </c>
    </row>
    <row r="80" spans="1:19" x14ac:dyDescent="0.2">
      <c r="A80" s="19"/>
      <c r="B80" s="19"/>
      <c r="C80" s="19"/>
      <c r="D80" s="19"/>
      <c r="E80" s="45"/>
      <c r="F80" s="39"/>
      <c r="G80" s="39"/>
      <c r="H80" s="39"/>
      <c r="I80" s="42"/>
      <c r="J80" s="43"/>
      <c r="K80" s="41"/>
      <c r="L80" s="40"/>
      <c r="M80" s="19"/>
      <c r="N80" s="19"/>
      <c r="O80" s="19"/>
      <c r="P80" s="32"/>
      <c r="Q80" s="33"/>
      <c r="R80" s="28" t="b">
        <f t="shared" si="2"/>
        <v>0</v>
      </c>
      <c r="S80" s="28" t="b">
        <f t="shared" si="3"/>
        <v>0</v>
      </c>
    </row>
    <row r="81" spans="1:19" x14ac:dyDescent="0.2">
      <c r="A81" s="19"/>
      <c r="B81" s="19"/>
      <c r="C81" s="19"/>
      <c r="D81" s="19"/>
      <c r="E81" s="46"/>
      <c r="F81" s="39"/>
      <c r="G81" s="39"/>
      <c r="H81" s="39"/>
      <c r="I81" s="43"/>
      <c r="J81" s="43"/>
      <c r="K81" s="26"/>
      <c r="L81" s="26"/>
      <c r="M81" s="19"/>
      <c r="N81" s="19"/>
      <c r="O81" s="19"/>
      <c r="P81" s="32"/>
      <c r="Q81" s="33"/>
      <c r="R81" s="28" t="b">
        <f t="shared" si="2"/>
        <v>0</v>
      </c>
      <c r="S81" s="28" t="b">
        <f t="shared" si="3"/>
        <v>0</v>
      </c>
    </row>
    <row r="82" spans="1:19" x14ac:dyDescent="0.2">
      <c r="A82" s="19"/>
      <c r="B82" s="19"/>
      <c r="C82" s="19"/>
      <c r="D82" s="19"/>
      <c r="E82" s="26"/>
      <c r="F82" s="39"/>
      <c r="G82" s="39"/>
      <c r="H82" s="39"/>
      <c r="I82" s="26"/>
      <c r="J82" s="26"/>
      <c r="K82" s="26"/>
      <c r="L82" s="26"/>
      <c r="M82" s="19"/>
      <c r="N82" s="19"/>
      <c r="O82" s="19"/>
      <c r="P82" s="32"/>
      <c r="Q82" s="33"/>
      <c r="R82" s="28" t="b">
        <f t="shared" si="2"/>
        <v>0</v>
      </c>
      <c r="S82" s="28" t="b">
        <f t="shared" si="3"/>
        <v>0</v>
      </c>
    </row>
    <row r="83" spans="1:19" x14ac:dyDescent="0.2">
      <c r="A83" s="19"/>
      <c r="B83" s="19"/>
      <c r="C83" s="19"/>
      <c r="D83" s="19"/>
      <c r="E83" s="26"/>
      <c r="F83" s="39"/>
      <c r="G83" s="39"/>
      <c r="H83" s="39"/>
      <c r="I83" s="26"/>
      <c r="J83" s="26"/>
      <c r="K83" s="26"/>
      <c r="L83" s="26"/>
      <c r="M83" s="19"/>
      <c r="N83" s="19"/>
      <c r="O83" s="19"/>
      <c r="P83" s="32"/>
      <c r="Q83" s="33"/>
      <c r="R83" s="28" t="b">
        <f t="shared" si="2"/>
        <v>0</v>
      </c>
      <c r="S83" s="28" t="b">
        <f t="shared" si="3"/>
        <v>0</v>
      </c>
    </row>
    <row r="84" spans="1:19" x14ac:dyDescent="0.2">
      <c r="A84" s="19"/>
      <c r="B84" s="19"/>
      <c r="C84" s="19"/>
      <c r="D84" s="19"/>
      <c r="E84" s="19"/>
      <c r="F84" s="39"/>
      <c r="G84" s="39"/>
      <c r="H84" s="39"/>
      <c r="I84" s="19"/>
      <c r="J84" s="19"/>
      <c r="K84" s="19"/>
      <c r="L84" s="19"/>
      <c r="M84" s="19"/>
      <c r="N84" s="19"/>
      <c r="O84" s="19"/>
      <c r="P84" s="32"/>
      <c r="Q84" s="33"/>
      <c r="R84" s="28" t="b">
        <f t="shared" si="2"/>
        <v>0</v>
      </c>
      <c r="S84" s="28" t="b">
        <f t="shared" si="3"/>
        <v>0</v>
      </c>
    </row>
    <row r="85" spans="1:19" x14ac:dyDescent="0.2">
      <c r="A85" s="19"/>
      <c r="B85" s="19"/>
      <c r="C85" s="19"/>
      <c r="D85" s="19"/>
      <c r="E85" s="19"/>
      <c r="F85" s="39"/>
      <c r="G85" s="39"/>
      <c r="H85" s="39"/>
      <c r="I85" s="19"/>
      <c r="J85" s="19"/>
      <c r="K85" s="19"/>
      <c r="L85" s="19"/>
      <c r="M85" s="19"/>
      <c r="N85" s="19"/>
      <c r="O85" s="19"/>
      <c r="P85" s="32"/>
      <c r="Q85" s="33"/>
      <c r="R85" s="28" t="b">
        <f t="shared" si="2"/>
        <v>0</v>
      </c>
      <c r="S85" s="28" t="b">
        <f t="shared" si="3"/>
        <v>0</v>
      </c>
    </row>
    <row r="86" spans="1:19" x14ac:dyDescent="0.2">
      <c r="A86" s="19"/>
      <c r="B86" s="19"/>
      <c r="C86" s="19"/>
      <c r="D86" s="19"/>
      <c r="E86" s="19"/>
      <c r="F86" s="39"/>
      <c r="G86" s="39"/>
      <c r="H86" s="39"/>
      <c r="I86" s="19"/>
      <c r="J86" s="19"/>
      <c r="K86" s="19"/>
      <c r="L86" s="19"/>
      <c r="M86" s="19"/>
      <c r="N86" s="19"/>
      <c r="O86" s="19"/>
      <c r="P86" s="32"/>
      <c r="Q86" s="33"/>
      <c r="R86" s="28" t="b">
        <f t="shared" si="2"/>
        <v>0</v>
      </c>
      <c r="S86" s="28" t="b">
        <f t="shared" si="3"/>
        <v>0</v>
      </c>
    </row>
    <row r="87" spans="1:19" x14ac:dyDescent="0.2">
      <c r="A87" s="19"/>
      <c r="B87" s="19"/>
      <c r="C87" s="19"/>
      <c r="D87" s="19"/>
      <c r="E87" s="19"/>
      <c r="F87" s="39"/>
      <c r="G87" s="39"/>
      <c r="H87" s="39"/>
      <c r="I87" s="19"/>
      <c r="J87" s="19"/>
      <c r="K87" s="19"/>
      <c r="L87" s="19"/>
      <c r="M87" s="19"/>
      <c r="N87" s="19"/>
      <c r="O87" s="19"/>
      <c r="P87" s="32"/>
      <c r="Q87" s="33"/>
      <c r="R87" s="28" t="b">
        <f t="shared" si="2"/>
        <v>0</v>
      </c>
      <c r="S87" s="28" t="b">
        <f t="shared" si="3"/>
        <v>0</v>
      </c>
    </row>
    <row r="88" spans="1:19" x14ac:dyDescent="0.2">
      <c r="A88" s="19"/>
      <c r="B88" s="19"/>
      <c r="C88" s="19"/>
      <c r="D88" s="19"/>
      <c r="E88" s="19"/>
      <c r="F88" s="39"/>
      <c r="G88" s="39"/>
      <c r="H88" s="39"/>
      <c r="I88" s="19"/>
      <c r="J88" s="19"/>
      <c r="K88" s="19"/>
      <c r="L88" s="19"/>
      <c r="M88" s="19"/>
      <c r="N88" s="19"/>
      <c r="O88" s="19"/>
      <c r="P88" s="32"/>
      <c r="Q88" s="33"/>
      <c r="R88" s="28" t="b">
        <f t="shared" si="2"/>
        <v>0</v>
      </c>
      <c r="S88" s="28" t="b">
        <f t="shared" si="3"/>
        <v>0</v>
      </c>
    </row>
    <row r="89" spans="1:19" x14ac:dyDescent="0.2">
      <c r="A89" s="19"/>
      <c r="B89" s="19"/>
      <c r="C89" s="19"/>
      <c r="D89" s="19"/>
      <c r="E89" s="19"/>
      <c r="F89" s="39"/>
      <c r="G89" s="39"/>
      <c r="H89" s="39"/>
      <c r="I89" s="19"/>
      <c r="J89" s="19"/>
      <c r="K89" s="19"/>
      <c r="L89" s="19"/>
      <c r="M89" s="19"/>
      <c r="N89" s="19"/>
      <c r="O89" s="19"/>
      <c r="P89" s="32"/>
      <c r="Q89" s="33"/>
      <c r="R89" s="28" t="b">
        <f t="shared" si="2"/>
        <v>0</v>
      </c>
      <c r="S89" s="28" t="b">
        <f t="shared" si="3"/>
        <v>0</v>
      </c>
    </row>
    <row r="90" spans="1:19" x14ac:dyDescent="0.2">
      <c r="A90" s="19"/>
      <c r="B90" s="19"/>
      <c r="C90" s="19"/>
      <c r="D90" s="19"/>
      <c r="E90" s="19"/>
      <c r="F90" s="39"/>
      <c r="G90" s="39"/>
      <c r="H90" s="39"/>
      <c r="I90" s="19"/>
      <c r="J90" s="19"/>
      <c r="K90" s="19"/>
      <c r="L90" s="19"/>
      <c r="M90" s="19"/>
      <c r="N90" s="19"/>
      <c r="O90" s="19"/>
      <c r="P90" s="32"/>
      <c r="Q90" s="33"/>
      <c r="R90" s="28" t="b">
        <f t="shared" si="2"/>
        <v>0</v>
      </c>
      <c r="S90" s="28" t="b">
        <f t="shared" si="3"/>
        <v>0</v>
      </c>
    </row>
    <row r="91" spans="1:19" x14ac:dyDescent="0.2">
      <c r="A91" s="19"/>
      <c r="B91" s="19"/>
      <c r="C91" s="19"/>
      <c r="D91" s="19"/>
      <c r="E91" s="19"/>
      <c r="F91" s="39"/>
      <c r="G91" s="39"/>
      <c r="H91" s="39"/>
      <c r="I91" s="19"/>
      <c r="J91" s="19"/>
      <c r="K91" s="19"/>
      <c r="L91" s="19"/>
      <c r="M91" s="19"/>
      <c r="N91" s="19"/>
      <c r="O91" s="19"/>
      <c r="P91" s="32"/>
      <c r="Q91" s="33"/>
      <c r="R91" s="28" t="b">
        <f t="shared" si="2"/>
        <v>0</v>
      </c>
      <c r="S91" s="28" t="b">
        <f t="shared" si="3"/>
        <v>0</v>
      </c>
    </row>
    <row r="92" spans="1:19" x14ac:dyDescent="0.2">
      <c r="A92" s="19"/>
      <c r="B92" s="19"/>
      <c r="C92" s="19"/>
      <c r="D92" s="19"/>
      <c r="E92" s="19"/>
      <c r="F92" s="39"/>
      <c r="G92" s="39"/>
      <c r="H92" s="39"/>
      <c r="I92" s="19"/>
      <c r="J92" s="19"/>
      <c r="K92" s="19"/>
      <c r="L92" s="19"/>
      <c r="M92" s="19"/>
      <c r="N92" s="19"/>
      <c r="O92" s="19"/>
      <c r="P92" s="32"/>
      <c r="Q92" s="33"/>
      <c r="R92" s="28" t="b">
        <f t="shared" si="2"/>
        <v>0</v>
      </c>
      <c r="S92" s="28" t="b">
        <f t="shared" si="3"/>
        <v>0</v>
      </c>
    </row>
    <row r="93" spans="1:19" x14ac:dyDescent="0.2">
      <c r="A93" s="19"/>
      <c r="B93" s="19"/>
      <c r="C93" s="19"/>
      <c r="D93" s="19"/>
      <c r="E93" s="19"/>
      <c r="F93" s="39"/>
      <c r="G93" s="39"/>
      <c r="H93" s="39"/>
      <c r="I93" s="19"/>
      <c r="J93" s="19"/>
      <c r="K93" s="19"/>
      <c r="L93" s="19"/>
      <c r="M93" s="19"/>
      <c r="N93" s="19"/>
      <c r="O93" s="19"/>
      <c r="P93" s="32"/>
      <c r="Q93" s="33"/>
      <c r="R93" s="28" t="b">
        <f t="shared" si="2"/>
        <v>0</v>
      </c>
      <c r="S93" s="28" t="b">
        <f t="shared" si="3"/>
        <v>0</v>
      </c>
    </row>
    <row r="94" spans="1:19" x14ac:dyDescent="0.2">
      <c r="A94" s="19"/>
      <c r="B94" s="19"/>
      <c r="C94" s="19"/>
      <c r="D94" s="19"/>
      <c r="E94" s="19"/>
      <c r="F94" s="39"/>
      <c r="G94" s="39"/>
      <c r="H94" s="39"/>
      <c r="I94" s="44"/>
      <c r="J94" s="44"/>
      <c r="K94" s="19"/>
      <c r="L94" s="19"/>
      <c r="M94" s="19"/>
      <c r="N94" s="19"/>
      <c r="O94" s="19"/>
      <c r="P94" s="32"/>
      <c r="Q94" s="33"/>
      <c r="R94" s="28" t="b">
        <f t="shared" si="2"/>
        <v>0</v>
      </c>
      <c r="S94" s="28" t="b">
        <f t="shared" si="3"/>
        <v>0</v>
      </c>
    </row>
    <row r="95" spans="1:19" x14ac:dyDescent="0.2">
      <c r="A95" s="19"/>
      <c r="B95" s="19"/>
      <c r="C95" s="19"/>
      <c r="D95" s="19"/>
      <c r="E95" s="19"/>
      <c r="F95" s="39"/>
      <c r="G95" s="39"/>
      <c r="H95" s="39"/>
      <c r="I95" s="19"/>
      <c r="J95" s="19"/>
      <c r="K95" s="19"/>
      <c r="L95" s="19"/>
      <c r="M95" s="19"/>
      <c r="N95" s="19"/>
      <c r="O95" s="19"/>
      <c r="P95" s="32"/>
      <c r="Q95" s="33"/>
      <c r="R95" s="28" t="b">
        <f t="shared" si="2"/>
        <v>0</v>
      </c>
      <c r="S95" s="28" t="b">
        <f t="shared" si="3"/>
        <v>0</v>
      </c>
    </row>
    <row r="96" spans="1:19" x14ac:dyDescent="0.2">
      <c r="A96" s="19"/>
      <c r="B96" s="19"/>
      <c r="C96" s="19"/>
      <c r="D96" s="19"/>
      <c r="E96" s="19"/>
      <c r="F96" s="39"/>
      <c r="G96" s="39"/>
      <c r="H96" s="39"/>
      <c r="I96" s="19"/>
      <c r="J96" s="19"/>
      <c r="K96" s="19"/>
      <c r="L96" s="19"/>
      <c r="M96" s="19"/>
      <c r="N96" s="19"/>
      <c r="O96" s="19"/>
      <c r="P96" s="32"/>
      <c r="Q96" s="33"/>
      <c r="R96" s="28" t="b">
        <f t="shared" si="2"/>
        <v>0</v>
      </c>
      <c r="S96" s="28" t="b">
        <f t="shared" si="3"/>
        <v>0</v>
      </c>
    </row>
    <row r="97" spans="1:19" x14ac:dyDescent="0.2">
      <c r="A97" s="19"/>
      <c r="B97" s="19"/>
      <c r="C97" s="19"/>
      <c r="D97" s="19"/>
      <c r="E97" s="19"/>
      <c r="F97" s="39"/>
      <c r="G97" s="39"/>
      <c r="H97" s="39"/>
      <c r="I97" s="19"/>
      <c r="J97" s="19"/>
      <c r="K97" s="19"/>
      <c r="L97" s="19"/>
      <c r="M97" s="19"/>
      <c r="N97" s="19"/>
      <c r="O97" s="19"/>
      <c r="P97" s="32"/>
      <c r="Q97" s="33"/>
      <c r="R97" s="28" t="b">
        <f t="shared" si="2"/>
        <v>0</v>
      </c>
      <c r="S97" s="28" t="b">
        <f t="shared" si="3"/>
        <v>0</v>
      </c>
    </row>
    <row r="98" spans="1:19" x14ac:dyDescent="0.2">
      <c r="A98" s="19"/>
      <c r="B98" s="19"/>
      <c r="C98" s="19"/>
      <c r="D98" s="19"/>
      <c r="E98" s="19"/>
      <c r="F98" s="39"/>
      <c r="G98" s="39"/>
      <c r="H98" s="39"/>
      <c r="I98" s="19"/>
      <c r="J98" s="19"/>
      <c r="K98" s="19"/>
      <c r="L98" s="19"/>
      <c r="M98" s="19"/>
      <c r="N98" s="19"/>
      <c r="O98" s="19"/>
      <c r="P98" s="32"/>
      <c r="Q98" s="33"/>
      <c r="R98" s="28" t="b">
        <f t="shared" si="2"/>
        <v>0</v>
      </c>
      <c r="S98" s="28" t="b">
        <f t="shared" si="3"/>
        <v>0</v>
      </c>
    </row>
    <row r="99" spans="1:19" x14ac:dyDescent="0.2">
      <c r="A99" s="19"/>
      <c r="B99" s="19"/>
      <c r="C99" s="19"/>
      <c r="D99" s="19"/>
      <c r="E99" s="19"/>
      <c r="F99" s="39"/>
      <c r="G99" s="39"/>
      <c r="H99" s="39"/>
      <c r="I99" s="19"/>
      <c r="J99" s="19"/>
      <c r="K99" s="19"/>
      <c r="L99" s="19"/>
      <c r="M99" s="19"/>
      <c r="N99" s="19"/>
      <c r="O99" s="19"/>
      <c r="P99" s="32"/>
      <c r="Q99" s="33"/>
      <c r="R99" s="28" t="b">
        <f t="shared" si="2"/>
        <v>0</v>
      </c>
      <c r="S99" s="28" t="b">
        <f t="shared" si="3"/>
        <v>0</v>
      </c>
    </row>
    <row r="100" spans="1:19" x14ac:dyDescent="0.2">
      <c r="B100" s="5" t="s">
        <v>55</v>
      </c>
      <c r="H100" s="15"/>
      <c r="I100" s="19"/>
      <c r="J100" s="19"/>
      <c r="K100" s="19"/>
      <c r="L100" s="19"/>
      <c r="M100" s="19"/>
      <c r="N100" s="19"/>
      <c r="O100" s="19"/>
      <c r="P100" s="32"/>
      <c r="Q100" s="33"/>
      <c r="R100" s="28" t="b">
        <f t="shared" si="2"/>
        <v>0</v>
      </c>
      <c r="S100" s="28" t="b">
        <f t="shared" si="3"/>
        <v>0</v>
      </c>
    </row>
    <row r="101" spans="1:19" x14ac:dyDescent="0.2">
      <c r="A101" s="123"/>
      <c r="B101" s="88"/>
      <c r="C101" s="66" t="s">
        <v>56</v>
      </c>
      <c r="D101" s="66" t="s">
        <v>28</v>
      </c>
      <c r="E101" s="66" t="s">
        <v>64</v>
      </c>
      <c r="F101" s="66" t="s">
        <v>62</v>
      </c>
      <c r="G101" s="66" t="s">
        <v>66</v>
      </c>
      <c r="H101" s="15"/>
      <c r="I101" s="19"/>
      <c r="J101" s="19"/>
      <c r="K101" s="19"/>
      <c r="L101" s="19"/>
      <c r="M101" s="19"/>
      <c r="N101" s="19"/>
      <c r="O101" s="19"/>
      <c r="P101" s="32"/>
      <c r="Q101" s="33"/>
      <c r="R101" s="28" t="b">
        <f t="shared" si="2"/>
        <v>0</v>
      </c>
      <c r="S101" s="28" t="b">
        <f t="shared" si="3"/>
        <v>0</v>
      </c>
    </row>
    <row r="102" spans="1:19" x14ac:dyDescent="0.2">
      <c r="A102" s="67">
        <v>1</v>
      </c>
      <c r="B102" s="67">
        <f>A102+$B$32</f>
        <v>601</v>
      </c>
      <c r="C102" s="81" t="e">
        <f>MAX($B$17+$A$102*$B$18+$B$28+0.5*$B$6,$B$6)</f>
        <v>#DIV/0!</v>
      </c>
      <c r="D102" s="81" t="e">
        <f>$B$17+$A$102*$B$18+$B$27</f>
        <v>#DIV/0!</v>
      </c>
      <c r="E102" s="81" t="e">
        <f>MAX($B$17+$B$18*($B$35-$B$32)+$B$28+0.5*$B$6,$B$6)</f>
        <v>#DIV/0!</v>
      </c>
      <c r="F102" s="124">
        <f>MAX($P$3:$P$252)</f>
        <v>0</v>
      </c>
      <c r="G102" s="125" t="e">
        <f>MAX($B$17+$F$102*$B$18+$B$28+0.5*$B$6,$B$6)</f>
        <v>#DIV/0!</v>
      </c>
      <c r="H102" s="15"/>
      <c r="I102" s="19"/>
      <c r="J102" s="19"/>
      <c r="K102" s="19"/>
      <c r="L102" s="19"/>
      <c r="M102" s="19"/>
      <c r="N102" s="19"/>
      <c r="O102" s="19"/>
      <c r="P102" s="32"/>
      <c r="Q102" s="33"/>
      <c r="R102" s="28" t="b">
        <f t="shared" si="2"/>
        <v>0</v>
      </c>
      <c r="S102" s="28" t="b">
        <f t="shared" si="3"/>
        <v>0</v>
      </c>
    </row>
    <row r="103" spans="1:19" x14ac:dyDescent="0.2">
      <c r="A103" s="126" t="e">
        <f>(0.5*$B$6-$B$28-$B$17)/$B$18</f>
        <v>#DIV/0!</v>
      </c>
      <c r="B103" s="126" t="e">
        <f>$A103+$B$32</f>
        <v>#DIV/0!</v>
      </c>
      <c r="C103" s="81">
        <f>$B$6</f>
        <v>0.75</v>
      </c>
      <c r="D103" s="81" t="e">
        <f>$B$17+$A$103*$B$18+$B$27</f>
        <v>#DIV/0!</v>
      </c>
      <c r="E103" s="81" t="e">
        <f>MAX($B$17+$B$18*($C$35-$B$32)+$B$28+0.5*$B$6,$B$6)</f>
        <v>#DIV/0!</v>
      </c>
      <c r="F103" s="126">
        <f>$A$104</f>
        <v>44196</v>
      </c>
      <c r="G103" s="125" t="e">
        <f>$G$102</f>
        <v>#DIV/0!</v>
      </c>
      <c r="H103" s="15"/>
      <c r="I103" s="19"/>
      <c r="J103" s="19"/>
      <c r="K103" s="19"/>
      <c r="L103" s="19"/>
      <c r="M103" s="19"/>
      <c r="N103" s="19"/>
      <c r="O103" s="19"/>
      <c r="P103" s="32"/>
      <c r="Q103" s="33"/>
      <c r="R103" s="28" t="b">
        <f t="shared" si="2"/>
        <v>0</v>
      </c>
      <c r="S103" s="28" t="b">
        <f t="shared" si="3"/>
        <v>0</v>
      </c>
    </row>
    <row r="104" spans="1:19" x14ac:dyDescent="0.2">
      <c r="A104" s="67">
        <v>44196</v>
      </c>
      <c r="B104" s="67">
        <f>$A104+$B$32</f>
        <v>44796</v>
      </c>
      <c r="C104" s="125" t="e">
        <f>MAX($B$17+$A$104*$B$18+$B$28+0.5*$B$6,$B$6)</f>
        <v>#DIV/0!</v>
      </c>
      <c r="D104" s="125" t="e">
        <f>$B$17+$A$104*$B$18+$B$27</f>
        <v>#DIV/0!</v>
      </c>
      <c r="E104" s="88"/>
      <c r="F104" s="88"/>
      <c r="G104" s="127"/>
      <c r="H104" s="15"/>
      <c r="I104" s="19"/>
      <c r="J104" s="19"/>
      <c r="K104" s="19"/>
      <c r="L104" s="19"/>
      <c r="M104" s="19"/>
      <c r="N104" s="19"/>
      <c r="O104" s="19"/>
      <c r="P104" s="32"/>
      <c r="Q104" s="33"/>
      <c r="R104" s="28" t="b">
        <f t="shared" si="2"/>
        <v>0</v>
      </c>
      <c r="S104" s="28" t="b">
        <f t="shared" si="3"/>
        <v>0</v>
      </c>
    </row>
    <row r="105" spans="1:19" x14ac:dyDescent="0.2">
      <c r="A105" s="126">
        <f>$B$35</f>
        <v>38353</v>
      </c>
      <c r="B105" s="126">
        <f>$C$35</f>
        <v>39233</v>
      </c>
      <c r="C105" s="128">
        <v>0</v>
      </c>
      <c r="D105" s="129"/>
      <c r="E105" s="66" t="s">
        <v>65</v>
      </c>
      <c r="F105" s="88"/>
      <c r="G105" s="127"/>
      <c r="H105" s="15"/>
      <c r="I105" s="19"/>
      <c r="J105" s="19"/>
      <c r="K105" s="19"/>
      <c r="L105" s="19"/>
      <c r="M105" s="19"/>
      <c r="N105" s="19"/>
      <c r="O105" s="19"/>
      <c r="P105" s="32"/>
      <c r="Q105" s="33"/>
      <c r="R105" s="28" t="b">
        <f t="shared" si="2"/>
        <v>0</v>
      </c>
      <c r="S105" s="28" t="b">
        <f t="shared" si="3"/>
        <v>0</v>
      </c>
    </row>
    <row r="106" spans="1:19" x14ac:dyDescent="0.2">
      <c r="A106" s="126">
        <f>$B$35</f>
        <v>38353</v>
      </c>
      <c r="B106" s="126">
        <f>$C$35</f>
        <v>39233</v>
      </c>
      <c r="C106" s="128">
        <v>100000</v>
      </c>
      <c r="D106" s="129"/>
      <c r="E106" s="125" t="e">
        <f>$B$41</f>
        <v>#DIV/0!</v>
      </c>
      <c r="F106" s="129"/>
      <c r="G106" s="127"/>
      <c r="H106" s="15"/>
      <c r="I106" s="19"/>
      <c r="J106" s="19"/>
      <c r="K106" s="19"/>
      <c r="L106" s="19"/>
      <c r="M106" s="19"/>
      <c r="N106" s="19"/>
      <c r="O106" s="19"/>
      <c r="P106" s="32"/>
      <c r="Q106" s="33"/>
      <c r="R106" s="28" t="b">
        <f t="shared" si="2"/>
        <v>0</v>
      </c>
      <c r="S106" s="28" t="b">
        <f t="shared" si="3"/>
        <v>0</v>
      </c>
    </row>
    <row r="107" spans="1:19" x14ac:dyDescent="0.2">
      <c r="A107" s="129"/>
      <c r="B107" s="88"/>
      <c r="C107" s="88"/>
      <c r="D107" s="129"/>
      <c r="E107" s="125" t="e">
        <f>$B$41</f>
        <v>#DIV/0!</v>
      </c>
      <c r="F107" s="129"/>
      <c r="G107" s="127"/>
      <c r="H107" s="15"/>
      <c r="I107" s="19"/>
      <c r="J107" s="19"/>
      <c r="K107" s="19"/>
      <c r="L107" s="19"/>
      <c r="M107" s="19"/>
      <c r="N107" s="19"/>
      <c r="O107" s="19"/>
      <c r="P107" s="32"/>
      <c r="Q107" s="33"/>
      <c r="R107" s="28" t="b">
        <f t="shared" si="2"/>
        <v>0</v>
      </c>
      <c r="S107" s="28" t="b">
        <f t="shared" si="3"/>
        <v>0</v>
      </c>
    </row>
    <row r="108" spans="1:19" x14ac:dyDescent="0.2">
      <c r="A108" s="88"/>
      <c r="B108" s="88"/>
      <c r="C108" s="88"/>
      <c r="D108" s="88"/>
      <c r="E108" s="88"/>
      <c r="F108" s="129"/>
      <c r="G108" s="127"/>
      <c r="H108" s="15"/>
      <c r="I108" s="19"/>
      <c r="J108" s="19"/>
      <c r="K108" s="19"/>
      <c r="L108" s="19"/>
      <c r="M108" s="19"/>
      <c r="N108" s="19"/>
      <c r="O108" s="19"/>
      <c r="P108" s="32"/>
      <c r="Q108" s="33"/>
      <c r="R108" s="28" t="b">
        <f t="shared" si="2"/>
        <v>0</v>
      </c>
      <c r="S108" s="28" t="b">
        <f t="shared" si="3"/>
        <v>0</v>
      </c>
    </row>
    <row r="109" spans="1:19" x14ac:dyDescent="0.2">
      <c r="A109" s="88"/>
      <c r="B109" s="88"/>
      <c r="C109" s="88"/>
      <c r="D109" s="88"/>
      <c r="E109" s="88"/>
      <c r="F109" s="129"/>
      <c r="G109" s="127"/>
      <c r="H109" s="15"/>
      <c r="I109" s="19"/>
      <c r="J109" s="19"/>
      <c r="K109" s="19"/>
      <c r="L109" s="19"/>
      <c r="M109" s="19"/>
      <c r="N109" s="19"/>
      <c r="O109" s="19"/>
      <c r="P109" s="32"/>
      <c r="Q109" s="33"/>
      <c r="R109" s="28" t="b">
        <f t="shared" si="2"/>
        <v>0</v>
      </c>
      <c r="S109" s="28" t="b">
        <f t="shared" si="3"/>
        <v>0</v>
      </c>
    </row>
    <row r="110" spans="1:19" x14ac:dyDescent="0.2">
      <c r="A110" s="88"/>
      <c r="B110" s="88"/>
      <c r="C110" s="88"/>
      <c r="D110" s="88"/>
      <c r="E110" s="88"/>
      <c r="F110" s="129"/>
      <c r="G110" s="127"/>
      <c r="H110" s="15"/>
      <c r="I110" s="19"/>
      <c r="J110" s="19"/>
      <c r="K110" s="19"/>
      <c r="L110" s="19"/>
      <c r="M110" s="19"/>
      <c r="N110" s="19"/>
      <c r="O110" s="19"/>
      <c r="P110" s="32"/>
      <c r="Q110" s="33"/>
      <c r="R110" s="28" t="b">
        <f t="shared" si="2"/>
        <v>0</v>
      </c>
      <c r="S110" s="28" t="b">
        <f t="shared" si="3"/>
        <v>0</v>
      </c>
    </row>
    <row r="111" spans="1:19" x14ac:dyDescent="0.2">
      <c r="A111" s="88"/>
      <c r="B111" s="88"/>
      <c r="C111" s="66" t="s">
        <v>50</v>
      </c>
      <c r="D111" s="76" t="b">
        <f>IF($B$9&gt;3,INDEX(XX!$C$4:'XX'!$C$150,$B$9))</f>
        <v>0</v>
      </c>
      <c r="E111" s="76" t="b">
        <f>IF($B$9&gt;3,INDEX(XX!$D$4:'XX'!$D$150,$B$9))</f>
        <v>0</v>
      </c>
      <c r="F111" s="129"/>
      <c r="G111" s="127"/>
      <c r="H111" s="15"/>
      <c r="I111" s="19"/>
      <c r="J111" s="19"/>
      <c r="K111" s="19"/>
      <c r="L111" s="19"/>
      <c r="M111" s="19"/>
      <c r="N111" s="19"/>
      <c r="O111" s="19"/>
      <c r="P111" s="32"/>
      <c r="Q111" s="33"/>
      <c r="R111" s="28" t="b">
        <f t="shared" si="2"/>
        <v>0</v>
      </c>
      <c r="S111" s="28" t="b">
        <f t="shared" si="3"/>
        <v>0</v>
      </c>
    </row>
    <row r="112" spans="1:19" x14ac:dyDescent="0.2">
      <c r="A112" s="88"/>
      <c r="B112" s="88"/>
      <c r="C112" s="66" t="s">
        <v>51</v>
      </c>
      <c r="D112" s="130" t="s">
        <v>52</v>
      </c>
      <c r="E112" s="130" t="s">
        <v>53</v>
      </c>
      <c r="F112" s="129"/>
      <c r="G112" s="127"/>
      <c r="H112" s="15"/>
      <c r="I112" s="19"/>
      <c r="J112" s="19"/>
      <c r="K112" s="19"/>
      <c r="L112" s="19"/>
      <c r="M112" s="19"/>
      <c r="N112" s="19"/>
      <c r="O112" s="19"/>
      <c r="P112" s="32"/>
      <c r="Q112" s="33"/>
      <c r="R112" s="28" t="b">
        <f t="shared" si="2"/>
        <v>0</v>
      </c>
      <c r="S112" s="28" t="b">
        <f t="shared" si="3"/>
        <v>0</v>
      </c>
    </row>
    <row r="113" spans="1:19" x14ac:dyDescent="0.2">
      <c r="A113" s="66" t="s">
        <v>40</v>
      </c>
      <c r="B113" s="89" t="e">
        <f>MIN($A$50:$A$199)</f>
        <v>#DIV/0!</v>
      </c>
      <c r="C113" s="88"/>
      <c r="D113" s="76" t="e">
        <f>IF((ABS($B$16)&gt;$I$58)*AND(ABS($B$16)&lt;$J$58),#REF!+#REF!*B113,0)</f>
        <v>#DIV/0!</v>
      </c>
      <c r="E113" s="76" t="e">
        <f>IF((ABS($B$16)&gt;$J$58),$B$17+$B$18*$B113,0)</f>
        <v>#DIV/0!</v>
      </c>
      <c r="F113" s="129"/>
      <c r="G113" s="127"/>
      <c r="H113" s="15"/>
      <c r="I113" s="19"/>
      <c r="J113" s="19"/>
      <c r="K113" s="19"/>
      <c r="L113" s="19"/>
      <c r="M113" s="19"/>
      <c r="N113" s="19"/>
      <c r="O113" s="19"/>
      <c r="P113" s="32"/>
      <c r="Q113" s="33"/>
      <c r="R113" s="28" t="b">
        <f t="shared" si="2"/>
        <v>0</v>
      </c>
      <c r="S113" s="28" t="b">
        <f t="shared" si="3"/>
        <v>0</v>
      </c>
    </row>
    <row r="114" spans="1:19" x14ac:dyDescent="0.2">
      <c r="A114" s="66" t="s">
        <v>41</v>
      </c>
      <c r="B114" s="89">
        <f>MAX($P$3:$P$252)</f>
        <v>0</v>
      </c>
      <c r="C114" s="88"/>
      <c r="D114" s="76" t="e">
        <f>IF((ABS($B$16)&gt;$I$58)*AND(ABS($B$16)&lt;$J$58),#REF!+#REF!*B114,0)</f>
        <v>#DIV/0!</v>
      </c>
      <c r="E114" s="76" t="e">
        <f>IF((ABS($B$16)&gt;$E$111),$B$17+$B$18*$B114,0)</f>
        <v>#DIV/0!</v>
      </c>
      <c r="F114" s="129"/>
      <c r="G114" s="127"/>
      <c r="H114" s="15"/>
      <c r="I114" s="19"/>
      <c r="J114" s="19"/>
      <c r="K114" s="19"/>
      <c r="L114" s="19"/>
      <c r="M114" s="19"/>
      <c r="N114" s="19"/>
      <c r="O114" s="19"/>
      <c r="P114" s="32"/>
      <c r="Q114" s="33"/>
      <c r="R114" s="28" t="b">
        <f t="shared" si="2"/>
        <v>0</v>
      </c>
      <c r="S114" s="28" t="b">
        <f t="shared" si="3"/>
        <v>0</v>
      </c>
    </row>
    <row r="115" spans="1:19" x14ac:dyDescent="0.2">
      <c r="F115" s="15"/>
      <c r="G115" s="15"/>
      <c r="H115" s="15"/>
      <c r="I115" s="19"/>
      <c r="J115" s="19"/>
      <c r="K115" s="19"/>
      <c r="L115" s="19"/>
      <c r="M115" s="19"/>
      <c r="N115" s="19"/>
      <c r="O115" s="19"/>
      <c r="P115" s="32"/>
      <c r="Q115" s="33"/>
      <c r="R115" s="28" t="b">
        <f t="shared" si="2"/>
        <v>0</v>
      </c>
      <c r="S115" s="28" t="b">
        <f t="shared" si="3"/>
        <v>0</v>
      </c>
    </row>
    <row r="116" spans="1:19" x14ac:dyDescent="0.2">
      <c r="F116" s="15"/>
      <c r="G116" s="15"/>
      <c r="H116" s="15"/>
      <c r="I116" s="19"/>
      <c r="J116" s="19"/>
      <c r="K116" s="19"/>
      <c r="L116" s="19"/>
      <c r="M116" s="19"/>
      <c r="N116" s="19"/>
      <c r="O116" s="19"/>
      <c r="P116" s="32"/>
      <c r="Q116" s="33"/>
      <c r="R116" s="28" t="b">
        <f t="shared" si="2"/>
        <v>0</v>
      </c>
      <c r="S116" s="28" t="b">
        <f t="shared" si="3"/>
        <v>0</v>
      </c>
    </row>
    <row r="117" spans="1:19" x14ac:dyDescent="0.2">
      <c r="F117" s="15"/>
      <c r="G117" s="15"/>
      <c r="H117" s="15"/>
      <c r="I117" s="19"/>
      <c r="J117" s="19"/>
      <c r="K117" s="19"/>
      <c r="L117" s="19"/>
      <c r="M117" s="19"/>
      <c r="N117" s="19"/>
      <c r="O117" s="19"/>
      <c r="P117" s="32"/>
      <c r="Q117" s="33"/>
      <c r="R117" s="28" t="b">
        <f t="shared" si="2"/>
        <v>0</v>
      </c>
      <c r="S117" s="28" t="b">
        <f t="shared" si="3"/>
        <v>0</v>
      </c>
    </row>
    <row r="118" spans="1:19" x14ac:dyDescent="0.2">
      <c r="F118" s="15"/>
      <c r="G118" s="15"/>
      <c r="H118" s="15"/>
      <c r="I118" s="19"/>
      <c r="J118" s="19"/>
      <c r="K118" s="19"/>
      <c r="L118" s="19"/>
      <c r="M118" s="19"/>
      <c r="N118" s="19"/>
      <c r="O118" s="19"/>
      <c r="P118" s="32"/>
      <c r="Q118" s="33"/>
      <c r="R118" s="28" t="b">
        <f t="shared" si="2"/>
        <v>0</v>
      </c>
      <c r="S118" s="28" t="b">
        <f t="shared" si="3"/>
        <v>0</v>
      </c>
    </row>
    <row r="119" spans="1:19" x14ac:dyDescent="0.2">
      <c r="F119" s="15"/>
      <c r="G119" s="15"/>
      <c r="H119" s="15"/>
      <c r="I119" s="19"/>
      <c r="J119" s="19"/>
      <c r="K119" s="19"/>
      <c r="L119" s="19"/>
      <c r="M119" s="19"/>
      <c r="N119" s="19"/>
      <c r="O119" s="19"/>
      <c r="P119" s="32"/>
      <c r="Q119" s="33"/>
      <c r="R119" s="28" t="b">
        <f t="shared" si="2"/>
        <v>0</v>
      </c>
      <c r="S119" s="28" t="b">
        <f t="shared" si="3"/>
        <v>0</v>
      </c>
    </row>
    <row r="120" spans="1:19" x14ac:dyDescent="0.2">
      <c r="F120" s="15"/>
      <c r="G120" s="15"/>
      <c r="H120" s="15"/>
      <c r="I120" s="19"/>
      <c r="J120" s="19"/>
      <c r="K120" s="19"/>
      <c r="L120" s="19"/>
      <c r="M120" s="19"/>
      <c r="N120" s="19"/>
      <c r="O120" s="19"/>
      <c r="P120" s="32"/>
      <c r="Q120" s="33"/>
      <c r="R120" s="28" t="b">
        <f t="shared" si="2"/>
        <v>0</v>
      </c>
      <c r="S120" s="28" t="b">
        <f t="shared" si="3"/>
        <v>0</v>
      </c>
    </row>
    <row r="121" spans="1:19" x14ac:dyDescent="0.2">
      <c r="I121" s="19"/>
      <c r="J121" s="19"/>
      <c r="K121" s="19"/>
      <c r="L121" s="19"/>
      <c r="M121" s="19"/>
      <c r="N121" s="19"/>
      <c r="O121" s="19"/>
      <c r="P121" s="32"/>
      <c r="Q121" s="33"/>
      <c r="R121" s="28" t="b">
        <f t="shared" si="2"/>
        <v>0</v>
      </c>
      <c r="S121" s="28" t="b">
        <f t="shared" si="3"/>
        <v>0</v>
      </c>
    </row>
    <row r="122" spans="1:19" x14ac:dyDescent="0.2">
      <c r="I122" s="19"/>
      <c r="J122" s="19"/>
      <c r="K122" s="19"/>
      <c r="L122" s="19"/>
      <c r="M122" s="19"/>
      <c r="N122" s="19"/>
      <c r="O122" s="19"/>
      <c r="P122" s="32"/>
      <c r="Q122" s="33"/>
      <c r="R122" s="28" t="b">
        <f t="shared" si="2"/>
        <v>0</v>
      </c>
      <c r="S122" s="28" t="b">
        <f t="shared" si="3"/>
        <v>0</v>
      </c>
    </row>
    <row r="123" spans="1:19" x14ac:dyDescent="0.2">
      <c r="I123" s="19"/>
      <c r="J123" s="19"/>
      <c r="K123" s="19"/>
      <c r="L123" s="19"/>
      <c r="M123" s="19"/>
      <c r="N123" s="19"/>
      <c r="O123" s="19"/>
      <c r="P123" s="32"/>
      <c r="Q123" s="33"/>
      <c r="R123" s="28" t="b">
        <f t="shared" si="2"/>
        <v>0</v>
      </c>
      <c r="S123" s="28" t="b">
        <f t="shared" si="3"/>
        <v>0</v>
      </c>
    </row>
    <row r="124" spans="1:19" x14ac:dyDescent="0.2">
      <c r="I124" s="19"/>
      <c r="J124" s="19"/>
      <c r="K124" s="19"/>
      <c r="L124" s="19"/>
      <c r="M124" s="19"/>
      <c r="N124" s="19"/>
      <c r="O124" s="19"/>
      <c r="P124" s="32"/>
      <c r="Q124" s="33"/>
      <c r="R124" s="28" t="b">
        <f t="shared" si="2"/>
        <v>0</v>
      </c>
      <c r="S124" s="28" t="b">
        <f t="shared" si="3"/>
        <v>0</v>
      </c>
    </row>
    <row r="125" spans="1:19" x14ac:dyDescent="0.2">
      <c r="I125" s="19"/>
      <c r="J125" s="19"/>
      <c r="K125" s="19"/>
      <c r="L125" s="19"/>
      <c r="M125" s="19"/>
      <c r="N125" s="19"/>
      <c r="O125" s="19"/>
      <c r="P125" s="32"/>
      <c r="Q125" s="33"/>
      <c r="R125" s="28" t="b">
        <f t="shared" si="2"/>
        <v>0</v>
      </c>
      <c r="S125" s="28" t="b">
        <f t="shared" si="3"/>
        <v>0</v>
      </c>
    </row>
    <row r="126" spans="1:19" x14ac:dyDescent="0.2">
      <c r="I126" s="19"/>
      <c r="J126" s="19"/>
      <c r="K126" s="19"/>
      <c r="L126" s="19"/>
      <c r="M126" s="19"/>
      <c r="N126" s="19"/>
      <c r="O126" s="19"/>
      <c r="P126" s="32"/>
      <c r="Q126" s="33"/>
      <c r="R126" s="28" t="b">
        <f t="shared" si="2"/>
        <v>0</v>
      </c>
      <c r="S126" s="28" t="b">
        <f t="shared" si="3"/>
        <v>0</v>
      </c>
    </row>
    <row r="127" spans="1:19" x14ac:dyDescent="0.2">
      <c r="I127" s="19"/>
      <c r="J127" s="19"/>
      <c r="K127" s="19"/>
      <c r="L127" s="19"/>
      <c r="M127" s="19"/>
      <c r="N127" s="19"/>
      <c r="O127" s="19"/>
      <c r="P127" s="32"/>
      <c r="Q127" s="33"/>
      <c r="R127" s="28" t="b">
        <f t="shared" si="2"/>
        <v>0</v>
      </c>
      <c r="S127" s="28" t="b">
        <f t="shared" si="3"/>
        <v>0</v>
      </c>
    </row>
    <row r="128" spans="1:19" x14ac:dyDescent="0.2">
      <c r="I128" s="19"/>
      <c r="J128" s="19"/>
      <c r="K128" s="19"/>
      <c r="L128" s="19"/>
      <c r="M128" s="19"/>
      <c r="N128" s="19"/>
      <c r="O128" s="19"/>
      <c r="P128" s="32"/>
      <c r="Q128" s="33"/>
      <c r="R128" s="28" t="b">
        <f t="shared" si="2"/>
        <v>0</v>
      </c>
      <c r="S128" s="28" t="b">
        <f t="shared" si="3"/>
        <v>0</v>
      </c>
    </row>
    <row r="129" spans="9:19" x14ac:dyDescent="0.2">
      <c r="I129" s="19"/>
      <c r="J129" s="19"/>
      <c r="K129" s="19"/>
      <c r="L129" s="19"/>
      <c r="M129" s="19"/>
      <c r="N129" s="19"/>
      <c r="O129" s="19"/>
      <c r="P129" s="32"/>
      <c r="Q129" s="33"/>
      <c r="R129" s="28" t="b">
        <f t="shared" si="2"/>
        <v>0</v>
      </c>
      <c r="S129" s="28" t="b">
        <f t="shared" si="3"/>
        <v>0</v>
      </c>
    </row>
    <row r="130" spans="9:19" x14ac:dyDescent="0.2">
      <c r="I130" s="19"/>
      <c r="J130" s="19"/>
      <c r="K130" s="19"/>
      <c r="L130" s="19"/>
      <c r="M130" s="19"/>
      <c r="N130" s="19"/>
      <c r="O130" s="19"/>
      <c r="P130" s="32"/>
      <c r="Q130" s="33"/>
      <c r="R130" s="28" t="b">
        <f t="shared" si="2"/>
        <v>0</v>
      </c>
      <c r="S130" s="28" t="b">
        <f t="shared" si="3"/>
        <v>0</v>
      </c>
    </row>
    <row r="131" spans="9:19" x14ac:dyDescent="0.2">
      <c r="I131" s="19"/>
      <c r="J131" s="19"/>
      <c r="K131" s="19"/>
      <c r="L131" s="19"/>
      <c r="M131" s="19"/>
      <c r="N131" s="19"/>
      <c r="O131" s="19"/>
      <c r="P131" s="32"/>
      <c r="Q131" s="33"/>
      <c r="R131" s="28" t="b">
        <f t="shared" si="2"/>
        <v>0</v>
      </c>
      <c r="S131" s="28" t="b">
        <f t="shared" si="3"/>
        <v>0</v>
      </c>
    </row>
    <row r="132" spans="9:19" x14ac:dyDescent="0.2">
      <c r="I132" s="19"/>
      <c r="J132" s="19"/>
      <c r="K132" s="19"/>
      <c r="L132" s="19"/>
      <c r="M132" s="19"/>
      <c r="N132" s="19"/>
      <c r="O132" s="19"/>
      <c r="P132" s="32"/>
      <c r="Q132" s="33"/>
      <c r="R132" s="28" t="b">
        <f t="shared" ref="R132:R195" si="4">IF($P132&gt;0,$B$17+$B$18*$P132)</f>
        <v>0</v>
      </c>
      <c r="S132" s="28" t="b">
        <f t="shared" ref="S132:S195" si="5">IF($P132&gt;0,$Q132-$R132)</f>
        <v>0</v>
      </c>
    </row>
    <row r="133" spans="9:19" x14ac:dyDescent="0.2">
      <c r="I133" s="19"/>
      <c r="J133" s="19"/>
      <c r="K133" s="19"/>
      <c r="L133" s="19"/>
      <c r="M133" s="19"/>
      <c r="N133" s="19"/>
      <c r="O133" s="19"/>
      <c r="P133" s="32"/>
      <c r="Q133" s="33"/>
      <c r="R133" s="28" t="b">
        <f t="shared" si="4"/>
        <v>0</v>
      </c>
      <c r="S133" s="28" t="b">
        <f t="shared" si="5"/>
        <v>0</v>
      </c>
    </row>
    <row r="134" spans="9:19" x14ac:dyDescent="0.2">
      <c r="I134" s="19"/>
      <c r="J134" s="19"/>
      <c r="K134" s="19"/>
      <c r="L134" s="19"/>
      <c r="M134" s="19"/>
      <c r="N134" s="19"/>
      <c r="O134" s="19"/>
      <c r="P134" s="32"/>
      <c r="Q134" s="33"/>
      <c r="R134" s="28" t="b">
        <f t="shared" si="4"/>
        <v>0</v>
      </c>
      <c r="S134" s="28" t="b">
        <f t="shared" si="5"/>
        <v>0</v>
      </c>
    </row>
    <row r="135" spans="9:19" x14ac:dyDescent="0.2">
      <c r="I135" s="19"/>
      <c r="J135" s="19"/>
      <c r="K135" s="19"/>
      <c r="L135" s="19"/>
      <c r="M135" s="19"/>
      <c r="N135" s="19"/>
      <c r="O135" s="19"/>
      <c r="P135" s="32"/>
      <c r="Q135" s="33"/>
      <c r="R135" s="28" t="b">
        <f t="shared" si="4"/>
        <v>0</v>
      </c>
      <c r="S135" s="28" t="b">
        <f t="shared" si="5"/>
        <v>0</v>
      </c>
    </row>
    <row r="136" spans="9:19" x14ac:dyDescent="0.2">
      <c r="I136" s="19"/>
      <c r="J136" s="19"/>
      <c r="K136" s="19"/>
      <c r="L136" s="19"/>
      <c r="M136" s="19"/>
      <c r="N136" s="19"/>
      <c r="O136" s="19"/>
      <c r="P136" s="32"/>
      <c r="Q136" s="33"/>
      <c r="R136" s="28" t="b">
        <f t="shared" si="4"/>
        <v>0</v>
      </c>
      <c r="S136" s="28" t="b">
        <f t="shared" si="5"/>
        <v>0</v>
      </c>
    </row>
    <row r="137" spans="9:19" x14ac:dyDescent="0.2">
      <c r="I137" s="19"/>
      <c r="J137" s="19"/>
      <c r="K137" s="19"/>
      <c r="L137" s="19"/>
      <c r="M137" s="19"/>
      <c r="N137" s="19"/>
      <c r="O137" s="19"/>
      <c r="P137" s="32"/>
      <c r="Q137" s="33"/>
      <c r="R137" s="28" t="b">
        <f t="shared" si="4"/>
        <v>0</v>
      </c>
      <c r="S137" s="28" t="b">
        <f t="shared" si="5"/>
        <v>0</v>
      </c>
    </row>
    <row r="138" spans="9:19" x14ac:dyDescent="0.2">
      <c r="I138" s="19"/>
      <c r="J138" s="19"/>
      <c r="K138" s="19"/>
      <c r="L138" s="19"/>
      <c r="M138" s="19"/>
      <c r="N138" s="19"/>
      <c r="O138" s="19"/>
      <c r="P138" s="32"/>
      <c r="Q138" s="33"/>
      <c r="R138" s="28" t="b">
        <f t="shared" si="4"/>
        <v>0</v>
      </c>
      <c r="S138" s="28" t="b">
        <f t="shared" si="5"/>
        <v>0</v>
      </c>
    </row>
    <row r="139" spans="9:19" x14ac:dyDescent="0.2">
      <c r="I139" s="19"/>
      <c r="J139" s="19"/>
      <c r="K139" s="19"/>
      <c r="L139" s="19"/>
      <c r="M139" s="19"/>
      <c r="N139" s="19"/>
      <c r="O139" s="19"/>
      <c r="P139" s="32"/>
      <c r="Q139" s="33"/>
      <c r="R139" s="28" t="b">
        <f t="shared" si="4"/>
        <v>0</v>
      </c>
      <c r="S139" s="28" t="b">
        <f t="shared" si="5"/>
        <v>0</v>
      </c>
    </row>
    <row r="140" spans="9:19" x14ac:dyDescent="0.2">
      <c r="I140" s="19"/>
      <c r="J140" s="19"/>
      <c r="K140" s="19"/>
      <c r="L140" s="19"/>
      <c r="M140" s="19"/>
      <c r="N140" s="19"/>
      <c r="O140" s="19"/>
      <c r="P140" s="32"/>
      <c r="Q140" s="33"/>
      <c r="R140" s="28" t="b">
        <f t="shared" si="4"/>
        <v>0</v>
      </c>
      <c r="S140" s="28" t="b">
        <f t="shared" si="5"/>
        <v>0</v>
      </c>
    </row>
    <row r="141" spans="9:19" x14ac:dyDescent="0.2">
      <c r="I141" s="19"/>
      <c r="J141" s="19"/>
      <c r="K141" s="19"/>
      <c r="L141" s="19"/>
      <c r="M141" s="19"/>
      <c r="N141" s="19"/>
      <c r="O141" s="19"/>
      <c r="P141" s="32"/>
      <c r="Q141" s="33"/>
      <c r="R141" s="28" t="b">
        <f t="shared" si="4"/>
        <v>0</v>
      </c>
      <c r="S141" s="28" t="b">
        <f t="shared" si="5"/>
        <v>0</v>
      </c>
    </row>
    <row r="142" spans="9:19" x14ac:dyDescent="0.2">
      <c r="I142" s="19"/>
      <c r="J142" s="19"/>
      <c r="K142" s="19"/>
      <c r="L142" s="19"/>
      <c r="M142" s="19"/>
      <c r="N142" s="19"/>
      <c r="O142" s="19"/>
      <c r="P142" s="32"/>
      <c r="Q142" s="33"/>
      <c r="R142" s="28" t="b">
        <f t="shared" si="4"/>
        <v>0</v>
      </c>
      <c r="S142" s="28" t="b">
        <f t="shared" si="5"/>
        <v>0</v>
      </c>
    </row>
    <row r="143" spans="9:19" x14ac:dyDescent="0.2">
      <c r="I143" s="19"/>
      <c r="J143" s="19"/>
      <c r="K143" s="19"/>
      <c r="L143" s="19"/>
      <c r="M143" s="19"/>
      <c r="N143" s="19"/>
      <c r="O143" s="19"/>
      <c r="P143" s="32"/>
      <c r="Q143" s="33"/>
      <c r="R143" s="28" t="b">
        <f t="shared" si="4"/>
        <v>0</v>
      </c>
      <c r="S143" s="28" t="b">
        <f t="shared" si="5"/>
        <v>0</v>
      </c>
    </row>
    <row r="144" spans="9:19" x14ac:dyDescent="0.2">
      <c r="I144" s="19"/>
      <c r="J144" s="19"/>
      <c r="K144" s="19"/>
      <c r="L144" s="19"/>
      <c r="M144" s="19"/>
      <c r="N144" s="19"/>
      <c r="O144" s="19"/>
      <c r="P144" s="32"/>
      <c r="Q144" s="33"/>
      <c r="R144" s="28" t="b">
        <f t="shared" si="4"/>
        <v>0</v>
      </c>
      <c r="S144" s="28" t="b">
        <f t="shared" si="5"/>
        <v>0</v>
      </c>
    </row>
    <row r="145" spans="9:19" x14ac:dyDescent="0.2">
      <c r="I145" s="19"/>
      <c r="J145" s="19"/>
      <c r="K145" s="19"/>
      <c r="L145" s="19"/>
      <c r="M145" s="19"/>
      <c r="N145" s="19"/>
      <c r="O145" s="19"/>
      <c r="P145" s="32"/>
      <c r="Q145" s="33"/>
      <c r="R145" s="28" t="b">
        <f t="shared" si="4"/>
        <v>0</v>
      </c>
      <c r="S145" s="28" t="b">
        <f t="shared" si="5"/>
        <v>0</v>
      </c>
    </row>
    <row r="146" spans="9:19" x14ac:dyDescent="0.2">
      <c r="I146" s="19"/>
      <c r="J146" s="19"/>
      <c r="K146" s="19"/>
      <c r="L146" s="19"/>
      <c r="M146" s="19"/>
      <c r="N146" s="19"/>
      <c r="O146" s="19"/>
      <c r="P146" s="32"/>
      <c r="Q146" s="33"/>
      <c r="R146" s="28" t="b">
        <f t="shared" si="4"/>
        <v>0</v>
      </c>
      <c r="S146" s="28" t="b">
        <f t="shared" si="5"/>
        <v>0</v>
      </c>
    </row>
    <row r="147" spans="9:19" x14ac:dyDescent="0.2">
      <c r="I147" s="19"/>
      <c r="J147" s="19"/>
      <c r="K147" s="19"/>
      <c r="L147" s="19"/>
      <c r="M147" s="19"/>
      <c r="N147" s="19"/>
      <c r="O147" s="19"/>
      <c r="P147" s="32"/>
      <c r="Q147" s="33"/>
      <c r="R147" s="28" t="b">
        <f t="shared" si="4"/>
        <v>0</v>
      </c>
      <c r="S147" s="28" t="b">
        <f t="shared" si="5"/>
        <v>0</v>
      </c>
    </row>
    <row r="148" spans="9:19" x14ac:dyDescent="0.2">
      <c r="I148" s="19"/>
      <c r="J148" s="19"/>
      <c r="K148" s="19"/>
      <c r="L148" s="19"/>
      <c r="M148" s="19"/>
      <c r="N148" s="19"/>
      <c r="O148" s="19"/>
      <c r="P148" s="32"/>
      <c r="Q148" s="33"/>
      <c r="R148" s="28" t="b">
        <f t="shared" si="4"/>
        <v>0</v>
      </c>
      <c r="S148" s="28" t="b">
        <f t="shared" si="5"/>
        <v>0</v>
      </c>
    </row>
    <row r="149" spans="9:19" x14ac:dyDescent="0.2">
      <c r="I149" s="19"/>
      <c r="J149" s="19"/>
      <c r="K149" s="19"/>
      <c r="L149" s="19"/>
      <c r="M149" s="19"/>
      <c r="N149" s="19"/>
      <c r="O149" s="19"/>
      <c r="P149" s="32"/>
      <c r="Q149" s="33"/>
      <c r="R149" s="28" t="b">
        <f t="shared" si="4"/>
        <v>0</v>
      </c>
      <c r="S149" s="28" t="b">
        <f t="shared" si="5"/>
        <v>0</v>
      </c>
    </row>
    <row r="150" spans="9:19" x14ac:dyDescent="0.2">
      <c r="I150" s="19"/>
      <c r="J150" s="19"/>
      <c r="K150" s="19"/>
      <c r="L150" s="19"/>
      <c r="M150" s="19"/>
      <c r="N150" s="19"/>
      <c r="O150" s="19"/>
      <c r="P150" s="32"/>
      <c r="Q150" s="33"/>
      <c r="R150" s="28" t="b">
        <f t="shared" si="4"/>
        <v>0</v>
      </c>
      <c r="S150" s="28" t="b">
        <f t="shared" si="5"/>
        <v>0</v>
      </c>
    </row>
    <row r="151" spans="9:19" x14ac:dyDescent="0.2">
      <c r="I151" s="19"/>
      <c r="J151" s="19"/>
      <c r="K151" s="19"/>
      <c r="L151" s="19"/>
      <c r="M151" s="19"/>
      <c r="N151" s="19"/>
      <c r="O151" s="19"/>
      <c r="P151" s="32"/>
      <c r="Q151" s="33"/>
      <c r="R151" s="28" t="b">
        <f t="shared" si="4"/>
        <v>0</v>
      </c>
      <c r="S151" s="28" t="b">
        <f t="shared" si="5"/>
        <v>0</v>
      </c>
    </row>
    <row r="152" spans="9:19" x14ac:dyDescent="0.2">
      <c r="I152" s="19"/>
      <c r="J152" s="19"/>
      <c r="K152" s="19"/>
      <c r="L152" s="19"/>
      <c r="M152" s="19"/>
      <c r="N152" s="19"/>
      <c r="O152" s="19"/>
      <c r="P152" s="32"/>
      <c r="Q152" s="33"/>
      <c r="R152" s="28" t="b">
        <f t="shared" si="4"/>
        <v>0</v>
      </c>
      <c r="S152" s="28" t="b">
        <f t="shared" si="5"/>
        <v>0</v>
      </c>
    </row>
    <row r="153" spans="9:19" x14ac:dyDescent="0.2">
      <c r="I153" s="19"/>
      <c r="J153" s="19"/>
      <c r="K153" s="19"/>
      <c r="L153" s="19"/>
      <c r="M153" s="19"/>
      <c r="N153" s="19"/>
      <c r="O153" s="19"/>
      <c r="P153" s="32"/>
      <c r="Q153" s="33"/>
      <c r="R153" s="28" t="b">
        <f t="shared" si="4"/>
        <v>0</v>
      </c>
      <c r="S153" s="28" t="b">
        <f t="shared" si="5"/>
        <v>0</v>
      </c>
    </row>
    <row r="154" spans="9:19" x14ac:dyDescent="0.2">
      <c r="I154" s="19"/>
      <c r="J154" s="19"/>
      <c r="K154" s="19"/>
      <c r="L154" s="19"/>
      <c r="M154" s="19"/>
      <c r="N154" s="19"/>
      <c r="O154" s="19"/>
      <c r="P154" s="32"/>
      <c r="Q154" s="33"/>
      <c r="R154" s="28" t="b">
        <f t="shared" si="4"/>
        <v>0</v>
      </c>
      <c r="S154" s="28" t="b">
        <f t="shared" si="5"/>
        <v>0</v>
      </c>
    </row>
    <row r="155" spans="9:19" x14ac:dyDescent="0.2">
      <c r="P155" s="32"/>
      <c r="Q155" s="33"/>
      <c r="R155" s="28" t="b">
        <f t="shared" si="4"/>
        <v>0</v>
      </c>
      <c r="S155" s="28" t="b">
        <f t="shared" si="5"/>
        <v>0</v>
      </c>
    </row>
    <row r="156" spans="9:19" x14ac:dyDescent="0.2">
      <c r="P156" s="32"/>
      <c r="Q156" s="33"/>
      <c r="R156" s="28" t="b">
        <f t="shared" si="4"/>
        <v>0</v>
      </c>
      <c r="S156" s="28" t="b">
        <f t="shared" si="5"/>
        <v>0</v>
      </c>
    </row>
    <row r="157" spans="9:19" x14ac:dyDescent="0.2">
      <c r="P157" s="32"/>
      <c r="Q157" s="33"/>
      <c r="R157" s="28" t="b">
        <f t="shared" si="4"/>
        <v>0</v>
      </c>
      <c r="S157" s="28" t="b">
        <f t="shared" si="5"/>
        <v>0</v>
      </c>
    </row>
    <row r="158" spans="9:19" x14ac:dyDescent="0.2">
      <c r="P158" s="32"/>
      <c r="Q158" s="33"/>
      <c r="R158" s="28" t="b">
        <f t="shared" si="4"/>
        <v>0</v>
      </c>
      <c r="S158" s="28" t="b">
        <f t="shared" si="5"/>
        <v>0</v>
      </c>
    </row>
    <row r="159" spans="9:19" x14ac:dyDescent="0.2">
      <c r="P159" s="32"/>
      <c r="Q159" s="33"/>
      <c r="R159" s="28" t="b">
        <f t="shared" si="4"/>
        <v>0</v>
      </c>
      <c r="S159" s="28" t="b">
        <f t="shared" si="5"/>
        <v>0</v>
      </c>
    </row>
    <row r="160" spans="9:19" x14ac:dyDescent="0.2">
      <c r="P160" s="32"/>
      <c r="Q160" s="33"/>
      <c r="R160" s="28" t="b">
        <f t="shared" si="4"/>
        <v>0</v>
      </c>
      <c r="S160" s="28" t="b">
        <f t="shared" si="5"/>
        <v>0</v>
      </c>
    </row>
    <row r="161" spans="16:19" x14ac:dyDescent="0.2">
      <c r="P161" s="32"/>
      <c r="Q161" s="33"/>
      <c r="R161" s="28" t="b">
        <f t="shared" si="4"/>
        <v>0</v>
      </c>
      <c r="S161" s="28" t="b">
        <f t="shared" si="5"/>
        <v>0</v>
      </c>
    </row>
    <row r="162" spans="16:19" x14ac:dyDescent="0.2">
      <c r="P162" s="32"/>
      <c r="Q162" s="33"/>
      <c r="R162" s="28" t="b">
        <f t="shared" si="4"/>
        <v>0</v>
      </c>
      <c r="S162" s="28" t="b">
        <f t="shared" si="5"/>
        <v>0</v>
      </c>
    </row>
    <row r="163" spans="16:19" x14ac:dyDescent="0.2">
      <c r="P163" s="32"/>
      <c r="Q163" s="33"/>
      <c r="R163" s="28" t="b">
        <f t="shared" si="4"/>
        <v>0</v>
      </c>
      <c r="S163" s="28" t="b">
        <f t="shared" si="5"/>
        <v>0</v>
      </c>
    </row>
    <row r="164" spans="16:19" x14ac:dyDescent="0.2">
      <c r="P164" s="32"/>
      <c r="Q164" s="33"/>
      <c r="R164" s="28" t="b">
        <f t="shared" si="4"/>
        <v>0</v>
      </c>
      <c r="S164" s="28" t="b">
        <f t="shared" si="5"/>
        <v>0</v>
      </c>
    </row>
    <row r="165" spans="16:19" x14ac:dyDescent="0.2">
      <c r="P165" s="32"/>
      <c r="Q165" s="33"/>
      <c r="R165" s="28" t="b">
        <f t="shared" si="4"/>
        <v>0</v>
      </c>
      <c r="S165" s="28" t="b">
        <f t="shared" si="5"/>
        <v>0</v>
      </c>
    </row>
    <row r="166" spans="16:19" x14ac:dyDescent="0.2">
      <c r="P166" s="32"/>
      <c r="Q166" s="33"/>
      <c r="R166" s="28" t="b">
        <f t="shared" si="4"/>
        <v>0</v>
      </c>
      <c r="S166" s="28" t="b">
        <f t="shared" si="5"/>
        <v>0</v>
      </c>
    </row>
    <row r="167" spans="16:19" x14ac:dyDescent="0.2">
      <c r="P167" s="32"/>
      <c r="Q167" s="33"/>
      <c r="R167" s="28" t="b">
        <f t="shared" si="4"/>
        <v>0</v>
      </c>
      <c r="S167" s="28" t="b">
        <f t="shared" si="5"/>
        <v>0</v>
      </c>
    </row>
    <row r="168" spans="16:19" x14ac:dyDescent="0.2">
      <c r="P168" s="32"/>
      <c r="Q168" s="33"/>
      <c r="R168" s="28" t="b">
        <f t="shared" si="4"/>
        <v>0</v>
      </c>
      <c r="S168" s="28" t="b">
        <f t="shared" si="5"/>
        <v>0</v>
      </c>
    </row>
    <row r="169" spans="16:19" x14ac:dyDescent="0.2">
      <c r="P169" s="32"/>
      <c r="Q169" s="33"/>
      <c r="R169" s="28" t="b">
        <f t="shared" si="4"/>
        <v>0</v>
      </c>
      <c r="S169" s="28" t="b">
        <f t="shared" si="5"/>
        <v>0</v>
      </c>
    </row>
    <row r="170" spans="16:19" x14ac:dyDescent="0.2">
      <c r="P170" s="32"/>
      <c r="Q170" s="33"/>
      <c r="R170" s="28" t="b">
        <f t="shared" si="4"/>
        <v>0</v>
      </c>
      <c r="S170" s="28" t="b">
        <f t="shared" si="5"/>
        <v>0</v>
      </c>
    </row>
    <row r="171" spans="16:19" x14ac:dyDescent="0.2">
      <c r="P171" s="32"/>
      <c r="Q171" s="33"/>
      <c r="R171" s="28" t="b">
        <f t="shared" si="4"/>
        <v>0</v>
      </c>
      <c r="S171" s="28" t="b">
        <f t="shared" si="5"/>
        <v>0</v>
      </c>
    </row>
    <row r="172" spans="16:19" x14ac:dyDescent="0.2">
      <c r="P172" s="32"/>
      <c r="Q172" s="33"/>
      <c r="R172" s="28" t="b">
        <f t="shared" si="4"/>
        <v>0</v>
      </c>
      <c r="S172" s="28" t="b">
        <f t="shared" si="5"/>
        <v>0</v>
      </c>
    </row>
    <row r="173" spans="16:19" x14ac:dyDescent="0.2">
      <c r="P173" s="32"/>
      <c r="Q173" s="33"/>
      <c r="R173" s="28" t="b">
        <f t="shared" si="4"/>
        <v>0</v>
      </c>
      <c r="S173" s="28" t="b">
        <f t="shared" si="5"/>
        <v>0</v>
      </c>
    </row>
    <row r="174" spans="16:19" x14ac:dyDescent="0.2">
      <c r="P174" s="32"/>
      <c r="Q174" s="33"/>
      <c r="R174" s="28" t="b">
        <f t="shared" si="4"/>
        <v>0</v>
      </c>
      <c r="S174" s="28" t="b">
        <f t="shared" si="5"/>
        <v>0</v>
      </c>
    </row>
    <row r="175" spans="16:19" x14ac:dyDescent="0.2">
      <c r="P175" s="32"/>
      <c r="Q175" s="33"/>
      <c r="R175" s="28" t="b">
        <f t="shared" si="4"/>
        <v>0</v>
      </c>
      <c r="S175" s="28" t="b">
        <f t="shared" si="5"/>
        <v>0</v>
      </c>
    </row>
    <row r="176" spans="16:19" x14ac:dyDescent="0.2">
      <c r="P176" s="32"/>
      <c r="Q176" s="33"/>
      <c r="R176" s="28" t="b">
        <f t="shared" si="4"/>
        <v>0</v>
      </c>
      <c r="S176" s="28" t="b">
        <f t="shared" si="5"/>
        <v>0</v>
      </c>
    </row>
    <row r="177" spans="16:19" x14ac:dyDescent="0.2">
      <c r="P177" s="32"/>
      <c r="Q177" s="33"/>
      <c r="R177" s="28" t="b">
        <f t="shared" si="4"/>
        <v>0</v>
      </c>
      <c r="S177" s="28" t="b">
        <f t="shared" si="5"/>
        <v>0</v>
      </c>
    </row>
    <row r="178" spans="16:19" x14ac:dyDescent="0.2">
      <c r="P178" s="32"/>
      <c r="Q178" s="33"/>
      <c r="R178" s="28" t="b">
        <f t="shared" si="4"/>
        <v>0</v>
      </c>
      <c r="S178" s="28" t="b">
        <f t="shared" si="5"/>
        <v>0</v>
      </c>
    </row>
    <row r="179" spans="16:19" x14ac:dyDescent="0.2">
      <c r="P179" s="32"/>
      <c r="Q179" s="33"/>
      <c r="R179" s="28" t="b">
        <f t="shared" si="4"/>
        <v>0</v>
      </c>
      <c r="S179" s="28" t="b">
        <f t="shared" si="5"/>
        <v>0</v>
      </c>
    </row>
    <row r="180" spans="16:19" x14ac:dyDescent="0.2">
      <c r="P180" s="32"/>
      <c r="Q180" s="33"/>
      <c r="R180" s="28" t="b">
        <f t="shared" si="4"/>
        <v>0</v>
      </c>
      <c r="S180" s="28" t="b">
        <f t="shared" si="5"/>
        <v>0</v>
      </c>
    </row>
    <row r="181" spans="16:19" x14ac:dyDescent="0.2">
      <c r="P181" s="32"/>
      <c r="Q181" s="33"/>
      <c r="R181" s="28" t="b">
        <f t="shared" si="4"/>
        <v>0</v>
      </c>
      <c r="S181" s="28" t="b">
        <f t="shared" si="5"/>
        <v>0</v>
      </c>
    </row>
    <row r="182" spans="16:19" x14ac:dyDescent="0.2">
      <c r="P182" s="32"/>
      <c r="Q182" s="33"/>
      <c r="R182" s="28" t="b">
        <f t="shared" si="4"/>
        <v>0</v>
      </c>
      <c r="S182" s="28" t="b">
        <f t="shared" si="5"/>
        <v>0</v>
      </c>
    </row>
    <row r="183" spans="16:19" x14ac:dyDescent="0.2">
      <c r="P183" s="32"/>
      <c r="Q183" s="33"/>
      <c r="R183" s="28" t="b">
        <f t="shared" si="4"/>
        <v>0</v>
      </c>
      <c r="S183" s="28" t="b">
        <f t="shared" si="5"/>
        <v>0</v>
      </c>
    </row>
    <row r="184" spans="16:19" x14ac:dyDescent="0.2">
      <c r="P184" s="32"/>
      <c r="Q184" s="33"/>
      <c r="R184" s="28" t="b">
        <f t="shared" si="4"/>
        <v>0</v>
      </c>
      <c r="S184" s="28" t="b">
        <f t="shared" si="5"/>
        <v>0</v>
      </c>
    </row>
    <row r="185" spans="16:19" x14ac:dyDescent="0.2">
      <c r="P185" s="32"/>
      <c r="Q185" s="33"/>
      <c r="R185" s="28" t="b">
        <f t="shared" si="4"/>
        <v>0</v>
      </c>
      <c r="S185" s="28" t="b">
        <f t="shared" si="5"/>
        <v>0</v>
      </c>
    </row>
    <row r="186" spans="16:19" x14ac:dyDescent="0.2">
      <c r="P186" s="32"/>
      <c r="Q186" s="33"/>
      <c r="R186" s="28" t="b">
        <f t="shared" si="4"/>
        <v>0</v>
      </c>
      <c r="S186" s="28" t="b">
        <f t="shared" si="5"/>
        <v>0</v>
      </c>
    </row>
    <row r="187" spans="16:19" x14ac:dyDescent="0.2">
      <c r="P187" s="32"/>
      <c r="Q187" s="33"/>
      <c r="R187" s="28" t="b">
        <f t="shared" si="4"/>
        <v>0</v>
      </c>
      <c r="S187" s="28" t="b">
        <f t="shared" si="5"/>
        <v>0</v>
      </c>
    </row>
    <row r="188" spans="16:19" x14ac:dyDescent="0.2">
      <c r="P188" s="32"/>
      <c r="Q188" s="33"/>
      <c r="R188" s="28" t="b">
        <f t="shared" si="4"/>
        <v>0</v>
      </c>
      <c r="S188" s="28" t="b">
        <f t="shared" si="5"/>
        <v>0</v>
      </c>
    </row>
    <row r="189" spans="16:19" x14ac:dyDescent="0.2">
      <c r="P189" s="32"/>
      <c r="Q189" s="33"/>
      <c r="R189" s="28" t="b">
        <f t="shared" si="4"/>
        <v>0</v>
      </c>
      <c r="S189" s="28" t="b">
        <f t="shared" si="5"/>
        <v>0</v>
      </c>
    </row>
    <row r="190" spans="16:19" x14ac:dyDescent="0.2">
      <c r="P190" s="32"/>
      <c r="Q190" s="33"/>
      <c r="R190" s="28" t="b">
        <f t="shared" si="4"/>
        <v>0</v>
      </c>
      <c r="S190" s="28" t="b">
        <f t="shared" si="5"/>
        <v>0</v>
      </c>
    </row>
    <row r="191" spans="16:19" x14ac:dyDescent="0.2">
      <c r="P191" s="32"/>
      <c r="Q191" s="33"/>
      <c r="R191" s="28" t="b">
        <f t="shared" si="4"/>
        <v>0</v>
      </c>
      <c r="S191" s="28" t="b">
        <f t="shared" si="5"/>
        <v>0</v>
      </c>
    </row>
    <row r="192" spans="16:19" x14ac:dyDescent="0.2">
      <c r="P192" s="32"/>
      <c r="Q192" s="33"/>
      <c r="R192" s="28" t="b">
        <f t="shared" si="4"/>
        <v>0</v>
      </c>
      <c r="S192" s="28" t="b">
        <f t="shared" si="5"/>
        <v>0</v>
      </c>
    </row>
    <row r="193" spans="16:19" x14ac:dyDescent="0.2">
      <c r="P193" s="32"/>
      <c r="Q193" s="33"/>
      <c r="R193" s="28" t="b">
        <f t="shared" si="4"/>
        <v>0</v>
      </c>
      <c r="S193" s="28" t="b">
        <f t="shared" si="5"/>
        <v>0</v>
      </c>
    </row>
    <row r="194" spans="16:19" x14ac:dyDescent="0.2">
      <c r="P194" s="32"/>
      <c r="Q194" s="33"/>
      <c r="R194" s="28" t="b">
        <f t="shared" si="4"/>
        <v>0</v>
      </c>
      <c r="S194" s="28" t="b">
        <f t="shared" si="5"/>
        <v>0</v>
      </c>
    </row>
    <row r="195" spans="16:19" x14ac:dyDescent="0.2">
      <c r="P195" s="32"/>
      <c r="Q195" s="33"/>
      <c r="R195" s="28" t="b">
        <f t="shared" si="4"/>
        <v>0</v>
      </c>
      <c r="S195" s="28" t="b">
        <f t="shared" si="5"/>
        <v>0</v>
      </c>
    </row>
    <row r="196" spans="16:19" x14ac:dyDescent="0.2">
      <c r="P196" s="32"/>
      <c r="Q196" s="33"/>
      <c r="R196" s="28" t="b">
        <f t="shared" ref="R196:R252" si="6">IF($P196&gt;0,$B$17+$B$18*$P196)</f>
        <v>0</v>
      </c>
      <c r="S196" s="28" t="b">
        <f t="shared" ref="S196:S252" si="7">IF($P196&gt;0,$Q196-$R196)</f>
        <v>0</v>
      </c>
    </row>
    <row r="197" spans="16:19" x14ac:dyDescent="0.2">
      <c r="P197" s="32"/>
      <c r="Q197" s="33"/>
      <c r="R197" s="28" t="b">
        <f t="shared" si="6"/>
        <v>0</v>
      </c>
      <c r="S197" s="28" t="b">
        <f t="shared" si="7"/>
        <v>0</v>
      </c>
    </row>
    <row r="198" spans="16:19" x14ac:dyDescent="0.2">
      <c r="P198" s="32"/>
      <c r="Q198" s="33"/>
      <c r="R198" s="28" t="b">
        <f t="shared" si="6"/>
        <v>0</v>
      </c>
      <c r="S198" s="28" t="b">
        <f t="shared" si="7"/>
        <v>0</v>
      </c>
    </row>
    <row r="199" spans="16:19" x14ac:dyDescent="0.2">
      <c r="P199" s="32"/>
      <c r="Q199" s="33"/>
      <c r="R199" s="28" t="b">
        <f t="shared" si="6"/>
        <v>0</v>
      </c>
      <c r="S199" s="28" t="b">
        <f t="shared" si="7"/>
        <v>0</v>
      </c>
    </row>
    <row r="200" spans="16:19" x14ac:dyDescent="0.2">
      <c r="P200" s="32"/>
      <c r="Q200" s="33"/>
      <c r="R200" s="28" t="b">
        <f t="shared" si="6"/>
        <v>0</v>
      </c>
      <c r="S200" s="28" t="b">
        <f t="shared" si="7"/>
        <v>0</v>
      </c>
    </row>
    <row r="201" spans="16:19" x14ac:dyDescent="0.2">
      <c r="P201" s="32"/>
      <c r="Q201" s="33"/>
      <c r="R201" s="28" t="b">
        <f t="shared" si="6"/>
        <v>0</v>
      </c>
      <c r="S201" s="28" t="b">
        <f t="shared" si="7"/>
        <v>0</v>
      </c>
    </row>
    <row r="202" spans="16:19" x14ac:dyDescent="0.2">
      <c r="P202" s="32"/>
      <c r="Q202" s="33"/>
      <c r="R202" s="28" t="b">
        <f t="shared" si="6"/>
        <v>0</v>
      </c>
      <c r="S202" s="28" t="b">
        <f t="shared" si="7"/>
        <v>0</v>
      </c>
    </row>
    <row r="203" spans="16:19" x14ac:dyDescent="0.2">
      <c r="P203" s="32"/>
      <c r="Q203" s="33"/>
      <c r="R203" s="28" t="b">
        <f t="shared" si="6"/>
        <v>0</v>
      </c>
      <c r="S203" s="28" t="b">
        <f t="shared" si="7"/>
        <v>0</v>
      </c>
    </row>
    <row r="204" spans="16:19" x14ac:dyDescent="0.2">
      <c r="P204" s="32"/>
      <c r="Q204" s="33"/>
      <c r="R204" s="28" t="b">
        <f t="shared" si="6"/>
        <v>0</v>
      </c>
      <c r="S204" s="28" t="b">
        <f t="shared" si="7"/>
        <v>0</v>
      </c>
    </row>
    <row r="205" spans="16:19" x14ac:dyDescent="0.2">
      <c r="P205" s="32"/>
      <c r="Q205" s="33"/>
      <c r="R205" s="28" t="b">
        <f t="shared" si="6"/>
        <v>0</v>
      </c>
      <c r="S205" s="28" t="b">
        <f t="shared" si="7"/>
        <v>0</v>
      </c>
    </row>
    <row r="206" spans="16:19" x14ac:dyDescent="0.2">
      <c r="P206" s="32"/>
      <c r="Q206" s="33"/>
      <c r="R206" s="28" t="b">
        <f t="shared" si="6"/>
        <v>0</v>
      </c>
      <c r="S206" s="28" t="b">
        <f t="shared" si="7"/>
        <v>0</v>
      </c>
    </row>
    <row r="207" spans="16:19" x14ac:dyDescent="0.2">
      <c r="P207" s="32"/>
      <c r="Q207" s="33"/>
      <c r="R207" s="28" t="b">
        <f t="shared" si="6"/>
        <v>0</v>
      </c>
      <c r="S207" s="28" t="b">
        <f t="shared" si="7"/>
        <v>0</v>
      </c>
    </row>
    <row r="208" spans="16:19" x14ac:dyDescent="0.2">
      <c r="P208" s="32"/>
      <c r="Q208" s="33"/>
      <c r="R208" s="28" t="b">
        <f t="shared" si="6"/>
        <v>0</v>
      </c>
      <c r="S208" s="28" t="b">
        <f t="shared" si="7"/>
        <v>0</v>
      </c>
    </row>
    <row r="209" spans="16:19" x14ac:dyDescent="0.2">
      <c r="P209" s="32"/>
      <c r="Q209" s="33"/>
      <c r="R209" s="28" t="b">
        <f t="shared" si="6"/>
        <v>0</v>
      </c>
      <c r="S209" s="28" t="b">
        <f t="shared" si="7"/>
        <v>0</v>
      </c>
    </row>
    <row r="210" spans="16:19" x14ac:dyDescent="0.2">
      <c r="P210" s="32"/>
      <c r="Q210" s="33"/>
      <c r="R210" s="28" t="b">
        <f t="shared" si="6"/>
        <v>0</v>
      </c>
      <c r="S210" s="28" t="b">
        <f t="shared" si="7"/>
        <v>0</v>
      </c>
    </row>
    <row r="211" spans="16:19" x14ac:dyDescent="0.2">
      <c r="P211" s="32"/>
      <c r="Q211" s="33"/>
      <c r="R211" s="28" t="b">
        <f t="shared" si="6"/>
        <v>0</v>
      </c>
      <c r="S211" s="28" t="b">
        <f t="shared" si="7"/>
        <v>0</v>
      </c>
    </row>
    <row r="212" spans="16:19" x14ac:dyDescent="0.2">
      <c r="P212" s="32"/>
      <c r="Q212" s="33"/>
      <c r="R212" s="28" t="b">
        <f t="shared" si="6"/>
        <v>0</v>
      </c>
      <c r="S212" s="28" t="b">
        <f t="shared" si="7"/>
        <v>0</v>
      </c>
    </row>
    <row r="213" spans="16:19" x14ac:dyDescent="0.2">
      <c r="P213" s="32"/>
      <c r="Q213" s="33"/>
      <c r="R213" s="28" t="b">
        <f t="shared" si="6"/>
        <v>0</v>
      </c>
      <c r="S213" s="28" t="b">
        <f t="shared" si="7"/>
        <v>0</v>
      </c>
    </row>
    <row r="214" spans="16:19" x14ac:dyDescent="0.2">
      <c r="P214" s="32"/>
      <c r="Q214" s="33"/>
      <c r="R214" s="28" t="b">
        <f t="shared" si="6"/>
        <v>0</v>
      </c>
      <c r="S214" s="28" t="b">
        <f t="shared" si="7"/>
        <v>0</v>
      </c>
    </row>
    <row r="215" spans="16:19" x14ac:dyDescent="0.2">
      <c r="P215" s="32"/>
      <c r="Q215" s="33"/>
      <c r="R215" s="28" t="b">
        <f t="shared" si="6"/>
        <v>0</v>
      </c>
      <c r="S215" s="28" t="b">
        <f t="shared" si="7"/>
        <v>0</v>
      </c>
    </row>
    <row r="216" spans="16:19" x14ac:dyDescent="0.2">
      <c r="P216" s="32"/>
      <c r="Q216" s="33"/>
      <c r="R216" s="28" t="b">
        <f t="shared" si="6"/>
        <v>0</v>
      </c>
      <c r="S216" s="28" t="b">
        <f t="shared" si="7"/>
        <v>0</v>
      </c>
    </row>
    <row r="217" spans="16:19" x14ac:dyDescent="0.2">
      <c r="P217" s="32"/>
      <c r="Q217" s="33"/>
      <c r="R217" s="28" t="b">
        <f t="shared" si="6"/>
        <v>0</v>
      </c>
      <c r="S217" s="28" t="b">
        <f t="shared" si="7"/>
        <v>0</v>
      </c>
    </row>
    <row r="218" spans="16:19" x14ac:dyDescent="0.2">
      <c r="P218" s="32"/>
      <c r="Q218" s="33"/>
      <c r="R218" s="28" t="b">
        <f t="shared" si="6"/>
        <v>0</v>
      </c>
      <c r="S218" s="28" t="b">
        <f t="shared" si="7"/>
        <v>0</v>
      </c>
    </row>
    <row r="219" spans="16:19" x14ac:dyDescent="0.2">
      <c r="P219" s="32"/>
      <c r="Q219" s="33"/>
      <c r="R219" s="28" t="b">
        <f t="shared" si="6"/>
        <v>0</v>
      </c>
      <c r="S219" s="28" t="b">
        <f t="shared" si="7"/>
        <v>0</v>
      </c>
    </row>
    <row r="220" spans="16:19" x14ac:dyDescent="0.2">
      <c r="P220" s="32"/>
      <c r="Q220" s="33"/>
      <c r="R220" s="28" t="b">
        <f t="shared" si="6"/>
        <v>0</v>
      </c>
      <c r="S220" s="28" t="b">
        <f t="shared" si="7"/>
        <v>0</v>
      </c>
    </row>
    <row r="221" spans="16:19" x14ac:dyDescent="0.2">
      <c r="P221" s="32"/>
      <c r="Q221" s="33"/>
      <c r="R221" s="28" t="b">
        <f t="shared" si="6"/>
        <v>0</v>
      </c>
      <c r="S221" s="28" t="b">
        <f t="shared" si="7"/>
        <v>0</v>
      </c>
    </row>
    <row r="222" spans="16:19" x14ac:dyDescent="0.2">
      <c r="P222" s="32"/>
      <c r="Q222" s="33"/>
      <c r="R222" s="28" t="b">
        <f t="shared" si="6"/>
        <v>0</v>
      </c>
      <c r="S222" s="28" t="b">
        <f t="shared" si="7"/>
        <v>0</v>
      </c>
    </row>
    <row r="223" spans="16:19" x14ac:dyDescent="0.2">
      <c r="P223" s="32"/>
      <c r="Q223" s="33"/>
      <c r="R223" s="28" t="b">
        <f t="shared" si="6"/>
        <v>0</v>
      </c>
      <c r="S223" s="28" t="b">
        <f t="shared" si="7"/>
        <v>0</v>
      </c>
    </row>
    <row r="224" spans="16:19" x14ac:dyDescent="0.2">
      <c r="P224" s="32"/>
      <c r="Q224" s="33"/>
      <c r="R224" s="28" t="b">
        <f t="shared" si="6"/>
        <v>0</v>
      </c>
      <c r="S224" s="28" t="b">
        <f t="shared" si="7"/>
        <v>0</v>
      </c>
    </row>
    <row r="225" spans="16:19" x14ac:dyDescent="0.2">
      <c r="P225" s="32"/>
      <c r="Q225" s="33"/>
      <c r="R225" s="28" t="b">
        <f t="shared" si="6"/>
        <v>0</v>
      </c>
      <c r="S225" s="28" t="b">
        <f t="shared" si="7"/>
        <v>0</v>
      </c>
    </row>
    <row r="226" spans="16:19" x14ac:dyDescent="0.2">
      <c r="P226" s="32"/>
      <c r="Q226" s="33"/>
      <c r="R226" s="28" t="b">
        <f t="shared" si="6"/>
        <v>0</v>
      </c>
      <c r="S226" s="28" t="b">
        <f t="shared" si="7"/>
        <v>0</v>
      </c>
    </row>
    <row r="227" spans="16:19" x14ac:dyDescent="0.2">
      <c r="P227" s="32"/>
      <c r="Q227" s="33"/>
      <c r="R227" s="28" t="b">
        <f t="shared" si="6"/>
        <v>0</v>
      </c>
      <c r="S227" s="28" t="b">
        <f t="shared" si="7"/>
        <v>0</v>
      </c>
    </row>
    <row r="228" spans="16:19" x14ac:dyDescent="0.2">
      <c r="P228" s="32"/>
      <c r="Q228" s="33"/>
      <c r="R228" s="28" t="b">
        <f t="shared" si="6"/>
        <v>0</v>
      </c>
      <c r="S228" s="28" t="b">
        <f t="shared" si="7"/>
        <v>0</v>
      </c>
    </row>
    <row r="229" spans="16:19" x14ac:dyDescent="0.2">
      <c r="P229" s="32"/>
      <c r="Q229" s="33"/>
      <c r="R229" s="28" t="b">
        <f t="shared" si="6"/>
        <v>0</v>
      </c>
      <c r="S229" s="28" t="b">
        <f t="shared" si="7"/>
        <v>0</v>
      </c>
    </row>
    <row r="230" spans="16:19" x14ac:dyDescent="0.2">
      <c r="P230" s="32"/>
      <c r="Q230" s="33"/>
      <c r="R230" s="28" t="b">
        <f t="shared" si="6"/>
        <v>0</v>
      </c>
      <c r="S230" s="28" t="b">
        <f t="shared" si="7"/>
        <v>0</v>
      </c>
    </row>
    <row r="231" spans="16:19" x14ac:dyDescent="0.2">
      <c r="P231" s="32"/>
      <c r="Q231" s="33"/>
      <c r="R231" s="28" t="b">
        <f t="shared" si="6"/>
        <v>0</v>
      </c>
      <c r="S231" s="28" t="b">
        <f t="shared" si="7"/>
        <v>0</v>
      </c>
    </row>
    <row r="232" spans="16:19" x14ac:dyDescent="0.2">
      <c r="P232" s="32"/>
      <c r="Q232" s="33"/>
      <c r="R232" s="28" t="b">
        <f t="shared" si="6"/>
        <v>0</v>
      </c>
      <c r="S232" s="28" t="b">
        <f t="shared" si="7"/>
        <v>0</v>
      </c>
    </row>
    <row r="233" spans="16:19" x14ac:dyDescent="0.2">
      <c r="P233" s="32"/>
      <c r="Q233" s="33"/>
      <c r="R233" s="28" t="b">
        <f t="shared" si="6"/>
        <v>0</v>
      </c>
      <c r="S233" s="28" t="b">
        <f t="shared" si="7"/>
        <v>0</v>
      </c>
    </row>
    <row r="234" spans="16:19" x14ac:dyDescent="0.2">
      <c r="P234" s="32"/>
      <c r="Q234" s="33"/>
      <c r="R234" s="28" t="b">
        <f t="shared" si="6"/>
        <v>0</v>
      </c>
      <c r="S234" s="28" t="b">
        <f t="shared" si="7"/>
        <v>0</v>
      </c>
    </row>
    <row r="235" spans="16:19" x14ac:dyDescent="0.2">
      <c r="P235" s="32"/>
      <c r="Q235" s="33"/>
      <c r="R235" s="28" t="b">
        <f t="shared" si="6"/>
        <v>0</v>
      </c>
      <c r="S235" s="28" t="b">
        <f t="shared" si="7"/>
        <v>0</v>
      </c>
    </row>
    <row r="236" spans="16:19" x14ac:dyDescent="0.2">
      <c r="P236" s="32"/>
      <c r="Q236" s="33"/>
      <c r="R236" s="28" t="b">
        <f t="shared" si="6"/>
        <v>0</v>
      </c>
      <c r="S236" s="28" t="b">
        <f t="shared" si="7"/>
        <v>0</v>
      </c>
    </row>
    <row r="237" spans="16:19" x14ac:dyDescent="0.2">
      <c r="P237" s="32"/>
      <c r="Q237" s="33"/>
      <c r="R237" s="28" t="b">
        <f t="shared" si="6"/>
        <v>0</v>
      </c>
      <c r="S237" s="28" t="b">
        <f t="shared" si="7"/>
        <v>0</v>
      </c>
    </row>
    <row r="238" spans="16:19" x14ac:dyDescent="0.2">
      <c r="P238" s="32"/>
      <c r="Q238" s="33"/>
      <c r="R238" s="28" t="b">
        <f t="shared" si="6"/>
        <v>0</v>
      </c>
      <c r="S238" s="28" t="b">
        <f t="shared" si="7"/>
        <v>0</v>
      </c>
    </row>
    <row r="239" spans="16:19" x14ac:dyDescent="0.2">
      <c r="P239" s="32"/>
      <c r="Q239" s="33"/>
      <c r="R239" s="28" t="b">
        <f t="shared" si="6"/>
        <v>0</v>
      </c>
      <c r="S239" s="28" t="b">
        <f t="shared" si="7"/>
        <v>0</v>
      </c>
    </row>
    <row r="240" spans="16:19" x14ac:dyDescent="0.2">
      <c r="P240" s="32"/>
      <c r="Q240" s="33"/>
      <c r="R240" s="28" t="b">
        <f t="shared" si="6"/>
        <v>0</v>
      </c>
      <c r="S240" s="28" t="b">
        <f t="shared" si="7"/>
        <v>0</v>
      </c>
    </row>
    <row r="241" spans="16:19" x14ac:dyDescent="0.2">
      <c r="P241" s="32"/>
      <c r="Q241" s="33"/>
      <c r="R241" s="28" t="b">
        <f t="shared" si="6"/>
        <v>0</v>
      </c>
      <c r="S241" s="28" t="b">
        <f t="shared" si="7"/>
        <v>0</v>
      </c>
    </row>
    <row r="242" spans="16:19" x14ac:dyDescent="0.2">
      <c r="P242" s="32"/>
      <c r="Q242" s="33"/>
      <c r="R242" s="28" t="b">
        <f t="shared" si="6"/>
        <v>0</v>
      </c>
      <c r="S242" s="28" t="b">
        <f t="shared" si="7"/>
        <v>0</v>
      </c>
    </row>
    <row r="243" spans="16:19" x14ac:dyDescent="0.2">
      <c r="P243" s="32"/>
      <c r="Q243" s="33"/>
      <c r="R243" s="28" t="b">
        <f t="shared" si="6"/>
        <v>0</v>
      </c>
      <c r="S243" s="28" t="b">
        <f t="shared" si="7"/>
        <v>0</v>
      </c>
    </row>
    <row r="244" spans="16:19" x14ac:dyDescent="0.2">
      <c r="P244" s="32"/>
      <c r="Q244" s="33"/>
      <c r="R244" s="28" t="b">
        <f t="shared" si="6"/>
        <v>0</v>
      </c>
      <c r="S244" s="28" t="b">
        <f t="shared" si="7"/>
        <v>0</v>
      </c>
    </row>
    <row r="245" spans="16:19" x14ac:dyDescent="0.2">
      <c r="P245" s="32"/>
      <c r="Q245" s="33"/>
      <c r="R245" s="28" t="b">
        <f t="shared" si="6"/>
        <v>0</v>
      </c>
      <c r="S245" s="28" t="b">
        <f t="shared" si="7"/>
        <v>0</v>
      </c>
    </row>
    <row r="246" spans="16:19" x14ac:dyDescent="0.2">
      <c r="P246" s="32"/>
      <c r="Q246" s="33"/>
      <c r="R246" s="28" t="b">
        <f t="shared" si="6"/>
        <v>0</v>
      </c>
      <c r="S246" s="28" t="b">
        <f t="shared" si="7"/>
        <v>0</v>
      </c>
    </row>
    <row r="247" spans="16:19" x14ac:dyDescent="0.2">
      <c r="P247" s="32"/>
      <c r="Q247" s="33"/>
      <c r="R247" s="28" t="b">
        <f t="shared" si="6"/>
        <v>0</v>
      </c>
      <c r="S247" s="28" t="b">
        <f t="shared" si="7"/>
        <v>0</v>
      </c>
    </row>
    <row r="248" spans="16:19" x14ac:dyDescent="0.2">
      <c r="P248" s="32"/>
      <c r="Q248" s="33"/>
      <c r="R248" s="28" t="b">
        <f t="shared" si="6"/>
        <v>0</v>
      </c>
      <c r="S248" s="28" t="b">
        <f t="shared" si="7"/>
        <v>0</v>
      </c>
    </row>
    <row r="249" spans="16:19" x14ac:dyDescent="0.2">
      <c r="P249" s="32"/>
      <c r="Q249" s="33"/>
      <c r="R249" s="28" t="b">
        <f t="shared" si="6"/>
        <v>0</v>
      </c>
      <c r="S249" s="28" t="b">
        <f t="shared" si="7"/>
        <v>0</v>
      </c>
    </row>
    <row r="250" spans="16:19" x14ac:dyDescent="0.2">
      <c r="P250" s="32"/>
      <c r="Q250" s="33"/>
      <c r="R250" s="28" t="b">
        <f t="shared" si="6"/>
        <v>0</v>
      </c>
      <c r="S250" s="28" t="b">
        <f t="shared" si="7"/>
        <v>0</v>
      </c>
    </row>
    <row r="251" spans="16:19" x14ac:dyDescent="0.2">
      <c r="P251" s="32"/>
      <c r="Q251" s="33"/>
      <c r="R251" s="28" t="b">
        <f t="shared" si="6"/>
        <v>0</v>
      </c>
      <c r="S251" s="28" t="b">
        <f t="shared" si="7"/>
        <v>0</v>
      </c>
    </row>
    <row r="252" spans="16:19" x14ac:dyDescent="0.2">
      <c r="P252" s="32"/>
      <c r="Q252" s="33"/>
      <c r="R252" s="28" t="b">
        <f t="shared" si="6"/>
        <v>0</v>
      </c>
      <c r="S252" s="28" t="b">
        <f t="shared" si="7"/>
        <v>0</v>
      </c>
    </row>
  </sheetData>
  <sheetProtection sheet="1" objects="1" scenarios="1" selectLockedCells="1"/>
  <mergeCells count="12">
    <mergeCell ref="A38:C38"/>
    <mergeCell ref="A1:B2"/>
    <mergeCell ref="C1:C2"/>
    <mergeCell ref="E1:G1"/>
    <mergeCell ref="B3:C3"/>
    <mergeCell ref="B4:C4"/>
    <mergeCell ref="A8:C8"/>
    <mergeCell ref="A15:C15"/>
    <mergeCell ref="A20:C20"/>
    <mergeCell ref="E26:G26"/>
    <mergeCell ref="A31:C31"/>
    <mergeCell ref="A34:C34"/>
  </mergeCells>
  <pageMargins left="0.39370078740157483" right="0.39370078740157483" top="0.82677165354330717" bottom="0.31496062992125984" header="0.19685039370078741" footer="0.11811023622047245"/>
  <pageSetup paperSize="9" scale="61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H23" sqref="H23"/>
    </sheetView>
  </sheetViews>
  <sheetFormatPr baseColWidth="10" defaultRowHeight="12.75" x14ac:dyDescent="0.2"/>
  <cols>
    <col min="1" max="1" width="13.7109375" customWidth="1"/>
  </cols>
  <sheetData>
    <row r="1" spans="1:4" x14ac:dyDescent="0.2">
      <c r="A1" s="17"/>
    </row>
    <row r="2" spans="1:4" x14ac:dyDescent="0.2">
      <c r="A2" s="136" t="s">
        <v>49</v>
      </c>
      <c r="B2" s="136"/>
      <c r="C2" s="136" t="s">
        <v>46</v>
      </c>
      <c r="D2" s="136"/>
    </row>
    <row r="3" spans="1:4" x14ac:dyDescent="0.2">
      <c r="A3" s="137" t="s">
        <v>11</v>
      </c>
      <c r="B3" s="137" t="s">
        <v>43</v>
      </c>
      <c r="C3" s="137" t="s">
        <v>47</v>
      </c>
      <c r="D3" s="137" t="s">
        <v>48</v>
      </c>
    </row>
    <row r="4" spans="1:4" x14ac:dyDescent="0.2">
      <c r="A4" s="138">
        <v>4</v>
      </c>
      <c r="B4" s="139">
        <v>2.06</v>
      </c>
      <c r="C4" s="79">
        <v>0.95</v>
      </c>
      <c r="D4" s="79">
        <v>0.99</v>
      </c>
    </row>
    <row r="5" spans="1:4" x14ac:dyDescent="0.2">
      <c r="A5" s="138">
        <v>5</v>
      </c>
      <c r="B5" s="139">
        <v>2.23</v>
      </c>
      <c r="C5" s="79">
        <v>0.87829999999999997</v>
      </c>
      <c r="D5" s="79">
        <v>0.9587</v>
      </c>
    </row>
    <row r="6" spans="1:4" x14ac:dyDescent="0.2">
      <c r="A6" s="138">
        <v>6</v>
      </c>
      <c r="B6" s="139">
        <v>2.4</v>
      </c>
      <c r="C6" s="79">
        <v>0.81140000000000001</v>
      </c>
      <c r="D6" s="79">
        <v>0.91720000000000002</v>
      </c>
    </row>
    <row r="7" spans="1:4" x14ac:dyDescent="0.2">
      <c r="A7" s="138">
        <v>7</v>
      </c>
      <c r="B7" s="139">
        <v>2.57</v>
      </c>
      <c r="C7" s="79">
        <v>0.75449999999999995</v>
      </c>
      <c r="D7" s="79">
        <v>0.87450000000000006</v>
      </c>
    </row>
    <row r="8" spans="1:4" x14ac:dyDescent="0.2">
      <c r="A8" s="138">
        <v>8</v>
      </c>
      <c r="B8" s="139">
        <v>2.74</v>
      </c>
      <c r="C8" s="79">
        <v>0.70669999999999999</v>
      </c>
      <c r="D8" s="79">
        <v>0.83430000000000004</v>
      </c>
    </row>
    <row r="9" spans="1:4" x14ac:dyDescent="0.2">
      <c r="A9" s="138">
        <v>9</v>
      </c>
      <c r="B9" s="139">
        <v>2.91</v>
      </c>
      <c r="C9" s="79">
        <v>0.66639999999999999</v>
      </c>
      <c r="D9" s="79">
        <v>0.79769999999999996</v>
      </c>
    </row>
    <row r="10" spans="1:4" x14ac:dyDescent="0.2">
      <c r="A10" s="138">
        <v>10</v>
      </c>
      <c r="B10" s="139">
        <v>3.08</v>
      </c>
      <c r="C10" s="79">
        <v>0.63190000000000002</v>
      </c>
      <c r="D10" s="79">
        <v>0.76459999999999995</v>
      </c>
    </row>
    <row r="11" spans="1:4" x14ac:dyDescent="0.2">
      <c r="A11" s="138">
        <v>11</v>
      </c>
      <c r="B11" s="139">
        <v>3.1579999999999999</v>
      </c>
      <c r="C11" s="79">
        <v>0.60209999999999997</v>
      </c>
      <c r="D11" s="79">
        <v>0.73480000000000001</v>
      </c>
    </row>
    <row r="12" spans="1:4" x14ac:dyDescent="0.2">
      <c r="A12" s="138">
        <v>12</v>
      </c>
      <c r="B12" s="139">
        <v>3.2360000000000002</v>
      </c>
      <c r="C12" s="79">
        <v>0.57599999999999996</v>
      </c>
      <c r="D12" s="79">
        <v>0.70789999999999997</v>
      </c>
    </row>
    <row r="13" spans="1:4" x14ac:dyDescent="0.2">
      <c r="A13" s="138">
        <v>13</v>
      </c>
      <c r="B13" s="139">
        <v>3.3140000000000001</v>
      </c>
      <c r="C13" s="79">
        <v>0.55289999999999995</v>
      </c>
      <c r="D13" s="79">
        <v>0.6835</v>
      </c>
    </row>
    <row r="14" spans="1:4" x14ac:dyDescent="0.2">
      <c r="A14" s="138">
        <v>14</v>
      </c>
      <c r="B14" s="139">
        <v>3.3920000000000003</v>
      </c>
      <c r="C14" s="79">
        <v>0.53239999999999998</v>
      </c>
      <c r="D14" s="79">
        <v>0.66139999999999999</v>
      </c>
    </row>
    <row r="15" spans="1:4" x14ac:dyDescent="0.2">
      <c r="A15" s="138">
        <v>15</v>
      </c>
      <c r="B15" s="139">
        <v>3.47</v>
      </c>
      <c r="C15" s="79">
        <v>0.51390000000000002</v>
      </c>
      <c r="D15" s="79">
        <v>0.6411</v>
      </c>
    </row>
    <row r="16" spans="1:4" x14ac:dyDescent="0.2">
      <c r="A16" s="138">
        <v>16</v>
      </c>
      <c r="B16" s="139">
        <v>3.524</v>
      </c>
      <c r="C16" s="79">
        <v>0.49730000000000002</v>
      </c>
      <c r="D16" s="79">
        <v>0.62260000000000004</v>
      </c>
    </row>
    <row r="17" spans="1:4" x14ac:dyDescent="0.2">
      <c r="A17" s="138">
        <v>17</v>
      </c>
      <c r="B17" s="139">
        <v>3.5780000000000003</v>
      </c>
      <c r="C17" s="79">
        <v>0.48209999999999997</v>
      </c>
      <c r="D17" s="79">
        <v>0.60550000000000004</v>
      </c>
    </row>
    <row r="18" spans="1:4" x14ac:dyDescent="0.2">
      <c r="A18" s="138">
        <v>18</v>
      </c>
      <c r="B18" s="139">
        <v>3.6320000000000001</v>
      </c>
      <c r="C18" s="79">
        <v>0.46829999999999999</v>
      </c>
      <c r="D18" s="79">
        <v>0.5897</v>
      </c>
    </row>
    <row r="19" spans="1:4" x14ac:dyDescent="0.2">
      <c r="A19" s="138">
        <v>19</v>
      </c>
      <c r="B19" s="139">
        <v>3.6860000000000004</v>
      </c>
      <c r="C19" s="79">
        <v>0.45550000000000002</v>
      </c>
      <c r="D19" s="79">
        <v>0.57509999999999994</v>
      </c>
    </row>
    <row r="20" spans="1:4" x14ac:dyDescent="0.2">
      <c r="A20" s="138">
        <v>20</v>
      </c>
      <c r="B20" s="139">
        <v>3.74</v>
      </c>
      <c r="C20" s="79">
        <v>0.44379999999999997</v>
      </c>
      <c r="D20" s="79">
        <v>0.56140000000000001</v>
      </c>
    </row>
    <row r="21" spans="1:4" x14ac:dyDescent="0.2">
      <c r="A21" s="138">
        <v>21</v>
      </c>
      <c r="B21" s="139">
        <v>3.7760000000000002</v>
      </c>
      <c r="C21" s="79">
        <v>0.43290000000000001</v>
      </c>
      <c r="D21" s="79">
        <v>0.54869999999999997</v>
      </c>
    </row>
    <row r="22" spans="1:4" x14ac:dyDescent="0.2">
      <c r="A22" s="138">
        <v>22</v>
      </c>
      <c r="B22" s="139">
        <v>3.8120000000000003</v>
      </c>
      <c r="C22" s="79">
        <v>0.42270000000000002</v>
      </c>
      <c r="D22" s="79">
        <v>0.53680000000000005</v>
      </c>
    </row>
    <row r="23" spans="1:4" x14ac:dyDescent="0.2">
      <c r="A23" s="138">
        <v>23</v>
      </c>
      <c r="B23" s="139">
        <v>3.8479999999999999</v>
      </c>
      <c r="C23" s="79">
        <v>0.41320000000000001</v>
      </c>
      <c r="D23" s="79">
        <v>0.52559999999999996</v>
      </c>
    </row>
    <row r="24" spans="1:4" x14ac:dyDescent="0.2">
      <c r="A24" s="138">
        <v>24</v>
      </c>
      <c r="B24" s="139">
        <v>3.8839999999999999</v>
      </c>
      <c r="C24" s="79">
        <v>0.40439999999999998</v>
      </c>
      <c r="D24" s="79">
        <v>0.5151</v>
      </c>
    </row>
    <row r="25" spans="1:4" x14ac:dyDescent="0.2">
      <c r="A25" s="138">
        <v>25</v>
      </c>
      <c r="B25" s="139">
        <v>3.92</v>
      </c>
      <c r="C25" s="79">
        <v>0.39610000000000001</v>
      </c>
      <c r="D25" s="79">
        <v>0.50519999999999998</v>
      </c>
    </row>
    <row r="26" spans="1:4" x14ac:dyDescent="0.2">
      <c r="A26" s="138">
        <v>26</v>
      </c>
      <c r="B26" s="139">
        <v>3.956</v>
      </c>
      <c r="C26" s="79">
        <v>0.38819999999999999</v>
      </c>
      <c r="D26" s="79">
        <v>0.49580000000000002</v>
      </c>
    </row>
    <row r="27" spans="1:4" x14ac:dyDescent="0.2">
      <c r="A27" s="138">
        <v>27</v>
      </c>
      <c r="B27" s="139">
        <v>3.992</v>
      </c>
      <c r="C27" s="79">
        <v>0.38090000000000002</v>
      </c>
      <c r="D27" s="79">
        <v>0.4869</v>
      </c>
    </row>
    <row r="28" spans="1:4" x14ac:dyDescent="0.2">
      <c r="A28" s="138">
        <v>28</v>
      </c>
      <c r="B28" s="139">
        <v>4.0279999999999996</v>
      </c>
      <c r="C28" s="79">
        <v>0.37390000000000001</v>
      </c>
      <c r="D28" s="79">
        <v>0.47849999999999998</v>
      </c>
    </row>
    <row r="29" spans="1:4" x14ac:dyDescent="0.2">
      <c r="A29" s="138">
        <v>29</v>
      </c>
      <c r="B29" s="139">
        <v>4.0640000000000001</v>
      </c>
      <c r="C29" s="79">
        <v>0.36730000000000002</v>
      </c>
      <c r="D29" s="79">
        <v>0.47049999999999997</v>
      </c>
    </row>
    <row r="30" spans="1:4" x14ac:dyDescent="0.2">
      <c r="A30" s="138">
        <v>30</v>
      </c>
      <c r="B30" s="139">
        <v>4.0999999999999996</v>
      </c>
      <c r="C30" s="79">
        <v>0.36099999999999999</v>
      </c>
      <c r="D30" s="79">
        <v>0.46289999999999998</v>
      </c>
    </row>
    <row r="31" spans="1:4" x14ac:dyDescent="0.2">
      <c r="A31" s="138">
        <v>31</v>
      </c>
      <c r="B31" s="139">
        <v>4.12</v>
      </c>
      <c r="C31" s="79">
        <v>0.35499999999999998</v>
      </c>
      <c r="D31" s="79">
        <v>0.4556</v>
      </c>
    </row>
    <row r="32" spans="1:4" x14ac:dyDescent="0.2">
      <c r="A32" s="138">
        <v>32</v>
      </c>
      <c r="B32" s="139">
        <v>4.1399999999999997</v>
      </c>
      <c r="C32" s="79">
        <v>0.34939999999999999</v>
      </c>
      <c r="D32" s="79">
        <v>0.44869999999999999</v>
      </c>
    </row>
    <row r="33" spans="1:4" x14ac:dyDescent="0.2">
      <c r="A33" s="138">
        <v>33</v>
      </c>
      <c r="B33" s="139">
        <v>4.16</v>
      </c>
      <c r="C33" s="79">
        <v>0.34399999999999997</v>
      </c>
      <c r="D33" s="79">
        <v>0.44209999999999999</v>
      </c>
    </row>
    <row r="34" spans="1:4" x14ac:dyDescent="0.2">
      <c r="A34" s="138">
        <v>34</v>
      </c>
      <c r="B34" s="139">
        <v>4.18</v>
      </c>
      <c r="C34" s="79">
        <v>0.33879999999999999</v>
      </c>
      <c r="D34" s="79">
        <v>0.43569999999999998</v>
      </c>
    </row>
    <row r="35" spans="1:4" x14ac:dyDescent="0.2">
      <c r="A35" s="138">
        <v>35</v>
      </c>
      <c r="B35" s="139">
        <v>4.2</v>
      </c>
      <c r="C35" s="79">
        <v>0.33379999999999999</v>
      </c>
      <c r="D35" s="79">
        <v>0.42970000000000003</v>
      </c>
    </row>
    <row r="36" spans="1:4" x14ac:dyDescent="0.2">
      <c r="A36" s="138">
        <v>36</v>
      </c>
      <c r="B36" s="139">
        <v>4.22</v>
      </c>
      <c r="C36" s="79">
        <v>0.3291</v>
      </c>
      <c r="D36" s="79">
        <v>0.42380000000000001</v>
      </c>
    </row>
    <row r="37" spans="1:4" x14ac:dyDescent="0.2">
      <c r="A37" s="138">
        <v>37</v>
      </c>
      <c r="B37" s="139">
        <v>4.24</v>
      </c>
      <c r="C37" s="79">
        <v>0.3246</v>
      </c>
      <c r="D37" s="79">
        <v>0.41820000000000002</v>
      </c>
    </row>
    <row r="38" spans="1:4" x14ac:dyDescent="0.2">
      <c r="A38" s="138">
        <v>38</v>
      </c>
      <c r="B38" s="139">
        <v>4.26</v>
      </c>
      <c r="C38" s="79">
        <v>0.32019999999999998</v>
      </c>
      <c r="D38" s="79">
        <v>0.4128</v>
      </c>
    </row>
    <row r="39" spans="1:4" x14ac:dyDescent="0.2">
      <c r="A39" s="138">
        <v>39</v>
      </c>
      <c r="B39" s="139">
        <v>4.28</v>
      </c>
      <c r="C39" s="79">
        <v>0.316</v>
      </c>
      <c r="D39" s="79">
        <v>0.40760000000000002</v>
      </c>
    </row>
    <row r="40" spans="1:4" x14ac:dyDescent="0.2">
      <c r="A40" s="138">
        <v>40</v>
      </c>
      <c r="B40" s="139">
        <v>4.3</v>
      </c>
      <c r="C40" s="79">
        <v>0.312</v>
      </c>
      <c r="D40" s="79">
        <v>0.40260000000000001</v>
      </c>
    </row>
    <row r="41" spans="1:4" x14ac:dyDescent="0.2">
      <c r="A41" s="138">
        <v>41</v>
      </c>
      <c r="B41" s="139">
        <v>4.32</v>
      </c>
      <c r="C41" s="79">
        <v>0.30809999999999998</v>
      </c>
      <c r="D41" s="79">
        <v>0.39779999999999999</v>
      </c>
    </row>
    <row r="42" spans="1:4" x14ac:dyDescent="0.2">
      <c r="A42" s="138">
        <v>42</v>
      </c>
      <c r="B42" s="139">
        <v>4.34</v>
      </c>
      <c r="C42" s="79">
        <v>0.3044</v>
      </c>
      <c r="D42" s="79">
        <v>0.39319999999999999</v>
      </c>
    </row>
    <row r="43" spans="1:4" x14ac:dyDescent="0.2">
      <c r="A43" s="138">
        <v>43</v>
      </c>
      <c r="B43" s="139">
        <v>4.3600000000000003</v>
      </c>
      <c r="C43" s="79">
        <v>0.30080000000000001</v>
      </c>
      <c r="D43" s="79">
        <v>0.38869999999999999</v>
      </c>
    </row>
    <row r="44" spans="1:4" x14ac:dyDescent="0.2">
      <c r="A44" s="138">
        <v>44</v>
      </c>
      <c r="B44" s="139">
        <v>4.38</v>
      </c>
      <c r="C44" s="79">
        <v>0.29730000000000001</v>
      </c>
      <c r="D44" s="79">
        <v>0.38429999999999997</v>
      </c>
    </row>
    <row r="45" spans="1:4" x14ac:dyDescent="0.2">
      <c r="A45" s="138">
        <v>45</v>
      </c>
      <c r="B45" s="139">
        <v>4.4000000000000004</v>
      </c>
      <c r="C45" s="79">
        <v>0.29399999999999998</v>
      </c>
      <c r="D45" s="79">
        <v>0.38019999999999998</v>
      </c>
    </row>
    <row r="46" spans="1:4" x14ac:dyDescent="0.2">
      <c r="A46" s="138">
        <v>46</v>
      </c>
      <c r="B46" s="139">
        <v>4.42</v>
      </c>
      <c r="C46" s="79">
        <v>0.29070000000000001</v>
      </c>
      <c r="D46" s="79">
        <v>0.37609999999999999</v>
      </c>
    </row>
    <row r="47" spans="1:4" x14ac:dyDescent="0.2">
      <c r="A47" s="138">
        <v>47</v>
      </c>
      <c r="B47" s="139">
        <v>4.4400000000000004</v>
      </c>
      <c r="C47" s="79">
        <v>0.28749999999999998</v>
      </c>
      <c r="D47" s="79">
        <v>0.37209999999999999</v>
      </c>
    </row>
    <row r="48" spans="1:4" x14ac:dyDescent="0.2">
      <c r="A48" s="138">
        <v>48</v>
      </c>
      <c r="B48" s="139">
        <v>4.46</v>
      </c>
      <c r="C48" s="79">
        <v>0.28449999999999998</v>
      </c>
      <c r="D48" s="79">
        <v>0.36830000000000002</v>
      </c>
    </row>
    <row r="49" spans="1:4" x14ac:dyDescent="0.2">
      <c r="A49" s="138">
        <v>49</v>
      </c>
      <c r="B49" s="139">
        <v>4.4800000000000004</v>
      </c>
      <c r="C49" s="79">
        <v>0.28160000000000002</v>
      </c>
      <c r="D49" s="79">
        <v>0.36459999999999998</v>
      </c>
    </row>
    <row r="50" spans="1:4" x14ac:dyDescent="0.2">
      <c r="A50" s="138">
        <v>50</v>
      </c>
      <c r="B50" s="139">
        <v>4.5</v>
      </c>
      <c r="C50" s="79">
        <v>0.2787</v>
      </c>
      <c r="D50" s="79">
        <v>0.36099999999999999</v>
      </c>
    </row>
    <row r="51" spans="1:4" x14ac:dyDescent="0.2">
      <c r="A51" s="138">
        <v>51</v>
      </c>
      <c r="B51" s="139">
        <v>4.5119999999999996</v>
      </c>
      <c r="C51" s="79">
        <v>0.27589999999999998</v>
      </c>
      <c r="D51" s="79">
        <v>0.35749999999999998</v>
      </c>
    </row>
    <row r="52" spans="1:4" x14ac:dyDescent="0.2">
      <c r="A52" s="138">
        <v>52</v>
      </c>
      <c r="B52" s="139">
        <v>4.524</v>
      </c>
      <c r="C52" s="79">
        <v>0.2732</v>
      </c>
      <c r="D52" s="79">
        <v>0.35410000000000003</v>
      </c>
    </row>
    <row r="53" spans="1:4" x14ac:dyDescent="0.2">
      <c r="A53" s="138">
        <v>53</v>
      </c>
      <c r="B53" s="139">
        <v>4.5359999999999996</v>
      </c>
      <c r="C53" s="79">
        <v>0.27060000000000001</v>
      </c>
      <c r="D53" s="79">
        <v>0.35089999999999999</v>
      </c>
    </row>
    <row r="54" spans="1:4" x14ac:dyDescent="0.2">
      <c r="A54" s="138">
        <v>54</v>
      </c>
      <c r="B54" s="139">
        <v>4.548</v>
      </c>
      <c r="C54" s="79">
        <v>0.2681</v>
      </c>
      <c r="D54" s="79">
        <v>0.34770000000000001</v>
      </c>
    </row>
    <row r="55" spans="1:4" x14ac:dyDescent="0.2">
      <c r="A55" s="138">
        <v>55</v>
      </c>
      <c r="B55" s="139">
        <v>4.5599999999999996</v>
      </c>
      <c r="C55" s="79">
        <v>0.2656</v>
      </c>
      <c r="D55" s="79">
        <v>0.34449999999999997</v>
      </c>
    </row>
    <row r="56" spans="1:4" x14ac:dyDescent="0.2">
      <c r="A56" s="138">
        <v>56</v>
      </c>
      <c r="B56" s="139">
        <v>4.5720000000000001</v>
      </c>
      <c r="C56" s="79">
        <v>0.26319999999999999</v>
      </c>
      <c r="D56" s="79">
        <v>0.34150000000000003</v>
      </c>
    </row>
    <row r="57" spans="1:4" x14ac:dyDescent="0.2">
      <c r="A57" s="138">
        <v>57</v>
      </c>
      <c r="B57" s="139">
        <v>4.5839999999999996</v>
      </c>
      <c r="C57" s="79">
        <v>0.26090000000000002</v>
      </c>
      <c r="D57" s="79">
        <v>0.33850000000000002</v>
      </c>
    </row>
    <row r="58" spans="1:4" x14ac:dyDescent="0.2">
      <c r="A58" s="138">
        <v>58</v>
      </c>
      <c r="B58" s="139">
        <v>4.5960000000000001</v>
      </c>
      <c r="C58" s="79">
        <v>0.2586</v>
      </c>
      <c r="D58" s="79">
        <v>0.3357</v>
      </c>
    </row>
    <row r="59" spans="1:4" x14ac:dyDescent="0.2">
      <c r="A59" s="138">
        <v>59</v>
      </c>
      <c r="B59" s="139">
        <v>4.6079999999999997</v>
      </c>
      <c r="C59" s="79">
        <v>0.25640000000000002</v>
      </c>
      <c r="D59" s="79">
        <v>0.33289999999999997</v>
      </c>
    </row>
    <row r="60" spans="1:4" x14ac:dyDescent="0.2">
      <c r="A60" s="138">
        <v>60</v>
      </c>
      <c r="B60" s="139">
        <v>4.62</v>
      </c>
      <c r="C60" s="79">
        <v>0.25419999999999998</v>
      </c>
      <c r="D60" s="79">
        <v>0.3301</v>
      </c>
    </row>
    <row r="61" spans="1:4" x14ac:dyDescent="0.2">
      <c r="A61" s="138">
        <v>61</v>
      </c>
      <c r="B61" s="139">
        <v>4.6319999999999997</v>
      </c>
      <c r="C61" s="79">
        <v>0.25209999999999999</v>
      </c>
      <c r="D61" s="79">
        <v>0.32740000000000002</v>
      </c>
    </row>
    <row r="62" spans="1:4" x14ac:dyDescent="0.2">
      <c r="A62" s="138">
        <v>62</v>
      </c>
      <c r="B62" s="139">
        <v>4.6440000000000001</v>
      </c>
      <c r="C62" s="79">
        <v>0.25</v>
      </c>
      <c r="D62" s="79">
        <v>0.32479999999999998</v>
      </c>
    </row>
    <row r="63" spans="1:4" x14ac:dyDescent="0.2">
      <c r="A63" s="138">
        <v>63</v>
      </c>
      <c r="B63" s="139">
        <v>4.6559999999999997</v>
      </c>
      <c r="C63" s="79">
        <v>0.248</v>
      </c>
      <c r="D63" s="79">
        <v>0.32229999999999998</v>
      </c>
    </row>
    <row r="64" spans="1:4" x14ac:dyDescent="0.2">
      <c r="A64" s="138">
        <v>64</v>
      </c>
      <c r="B64" s="139">
        <v>4.6680000000000001</v>
      </c>
      <c r="C64" s="79">
        <v>0.24610000000000001</v>
      </c>
      <c r="D64" s="79">
        <v>0.31979999999999997</v>
      </c>
    </row>
    <row r="65" spans="1:4" x14ac:dyDescent="0.2">
      <c r="A65" s="138">
        <v>65</v>
      </c>
      <c r="B65" s="139">
        <v>4.68</v>
      </c>
      <c r="C65" s="79">
        <v>0.2442</v>
      </c>
      <c r="D65" s="79">
        <v>0.31740000000000002</v>
      </c>
    </row>
    <row r="66" spans="1:4" x14ac:dyDescent="0.2">
      <c r="A66" s="138">
        <v>66</v>
      </c>
      <c r="B66" s="139">
        <v>4.6920000000000002</v>
      </c>
      <c r="C66" s="79">
        <v>0.24229999999999999</v>
      </c>
      <c r="D66" s="79">
        <v>0.315</v>
      </c>
    </row>
    <row r="67" spans="1:4" x14ac:dyDescent="0.2">
      <c r="A67" s="138">
        <v>67</v>
      </c>
      <c r="B67" s="139">
        <v>4.7039999999999997</v>
      </c>
      <c r="C67" s="79">
        <v>0.24049999999999999</v>
      </c>
      <c r="D67" s="79">
        <v>0.31269999999999998</v>
      </c>
    </row>
    <row r="68" spans="1:4" x14ac:dyDescent="0.2">
      <c r="A68" s="138">
        <v>68</v>
      </c>
      <c r="B68" s="139">
        <v>4.7160000000000002</v>
      </c>
      <c r="C68" s="79">
        <v>0.2387</v>
      </c>
      <c r="D68" s="79">
        <v>0.31040000000000001</v>
      </c>
    </row>
    <row r="69" spans="1:4" x14ac:dyDescent="0.2">
      <c r="A69" s="138">
        <v>69</v>
      </c>
      <c r="B69" s="139">
        <v>4.7279999999999998</v>
      </c>
      <c r="C69" s="79">
        <v>0.2369</v>
      </c>
      <c r="D69" s="79">
        <v>0.30809999999999998</v>
      </c>
    </row>
    <row r="70" spans="1:4" x14ac:dyDescent="0.2">
      <c r="A70" s="138">
        <v>70</v>
      </c>
      <c r="B70" s="139">
        <v>4.74</v>
      </c>
      <c r="C70" s="79">
        <v>0.23519999999999999</v>
      </c>
      <c r="D70" s="79">
        <v>0.30599999999999999</v>
      </c>
    </row>
    <row r="71" spans="1:4" x14ac:dyDescent="0.2">
      <c r="A71" s="138">
        <v>71</v>
      </c>
      <c r="B71" s="139">
        <v>4.7519999999999998</v>
      </c>
      <c r="C71" s="79">
        <v>0.23350000000000001</v>
      </c>
      <c r="D71" s="79">
        <v>0.30380000000000001</v>
      </c>
    </row>
    <row r="72" spans="1:4" x14ac:dyDescent="0.2">
      <c r="A72" s="138">
        <v>72</v>
      </c>
      <c r="B72" s="139">
        <v>4.7640000000000002</v>
      </c>
      <c r="C72" s="79">
        <v>0.2319</v>
      </c>
      <c r="D72" s="79">
        <v>0.30170000000000002</v>
      </c>
    </row>
    <row r="73" spans="1:4" x14ac:dyDescent="0.2">
      <c r="A73" s="138">
        <v>73</v>
      </c>
      <c r="B73" s="139">
        <v>4.7759999999999998</v>
      </c>
      <c r="C73" s="79">
        <v>0.2303</v>
      </c>
      <c r="D73" s="79">
        <v>0.29970000000000002</v>
      </c>
    </row>
    <row r="74" spans="1:4" x14ac:dyDescent="0.2">
      <c r="A74" s="138">
        <v>74</v>
      </c>
      <c r="B74" s="139">
        <v>4.7880000000000003</v>
      </c>
      <c r="C74" s="79">
        <v>0.22869999999999999</v>
      </c>
      <c r="D74" s="79">
        <v>0.29770000000000002</v>
      </c>
    </row>
    <row r="75" spans="1:4" x14ac:dyDescent="0.2">
      <c r="A75" s="138">
        <v>75</v>
      </c>
      <c r="B75" s="139">
        <v>4.8</v>
      </c>
      <c r="C75" s="79">
        <v>0.22720000000000001</v>
      </c>
      <c r="D75" s="79">
        <v>0.29570000000000002</v>
      </c>
    </row>
    <row r="76" spans="1:4" x14ac:dyDescent="0.2">
      <c r="A76" s="138">
        <v>76</v>
      </c>
      <c r="B76" s="139">
        <v>4.8079999999999998</v>
      </c>
      <c r="C76" s="79">
        <v>0.22570000000000001</v>
      </c>
      <c r="D76" s="79">
        <v>0.29380000000000001</v>
      </c>
    </row>
    <row r="77" spans="1:4" x14ac:dyDescent="0.2">
      <c r="A77" s="138">
        <v>77</v>
      </c>
      <c r="B77" s="139">
        <v>4.8159999999999998</v>
      </c>
      <c r="C77" s="79">
        <v>0.22420000000000001</v>
      </c>
      <c r="D77" s="79">
        <v>0.29189999999999999</v>
      </c>
    </row>
    <row r="78" spans="1:4" x14ac:dyDescent="0.2">
      <c r="A78" s="138">
        <v>78</v>
      </c>
      <c r="B78" s="139">
        <v>4.8239999999999998</v>
      </c>
      <c r="C78" s="79">
        <v>0.22270000000000001</v>
      </c>
      <c r="D78" s="79">
        <v>0.28999999999999998</v>
      </c>
    </row>
    <row r="79" spans="1:4" x14ac:dyDescent="0.2">
      <c r="A79" s="138">
        <v>79</v>
      </c>
      <c r="B79" s="139">
        <v>4.8319999999999999</v>
      </c>
      <c r="C79" s="79">
        <v>0.2213</v>
      </c>
      <c r="D79" s="79">
        <v>0.28820000000000001</v>
      </c>
    </row>
    <row r="80" spans="1:4" x14ac:dyDescent="0.2">
      <c r="A80" s="138">
        <v>80</v>
      </c>
      <c r="B80" s="139">
        <v>4.84</v>
      </c>
      <c r="C80" s="79">
        <v>0.21990000000000001</v>
      </c>
      <c r="D80" s="79">
        <v>0.28639999999999999</v>
      </c>
    </row>
    <row r="81" spans="1:4" x14ac:dyDescent="0.2">
      <c r="A81" s="138">
        <v>81</v>
      </c>
      <c r="B81" s="139">
        <v>4.8479999999999999</v>
      </c>
      <c r="C81" s="79">
        <v>0.2185</v>
      </c>
      <c r="D81" s="79">
        <v>0.28470000000000001</v>
      </c>
    </row>
    <row r="82" spans="1:4" x14ac:dyDescent="0.2">
      <c r="A82" s="138">
        <v>82</v>
      </c>
      <c r="B82" s="139">
        <v>4.8559999999999999</v>
      </c>
      <c r="C82" s="79">
        <v>0.2172</v>
      </c>
      <c r="D82" s="79">
        <v>0.28299999999999997</v>
      </c>
    </row>
    <row r="83" spans="1:4" x14ac:dyDescent="0.2">
      <c r="A83" s="138">
        <v>83</v>
      </c>
      <c r="B83" s="139">
        <v>4.8639999999999999</v>
      </c>
      <c r="C83" s="79">
        <v>0.21590000000000001</v>
      </c>
      <c r="D83" s="79">
        <v>0.28129999999999999</v>
      </c>
    </row>
    <row r="84" spans="1:4" x14ac:dyDescent="0.2">
      <c r="A84" s="138">
        <v>84</v>
      </c>
      <c r="B84" s="139">
        <v>4.8719999999999999</v>
      </c>
      <c r="C84" s="79">
        <v>0.21460000000000001</v>
      </c>
      <c r="D84" s="79">
        <v>0.27960000000000002</v>
      </c>
    </row>
    <row r="85" spans="1:4" x14ac:dyDescent="0.2">
      <c r="A85" s="138">
        <v>85</v>
      </c>
      <c r="B85" s="139">
        <v>4.88</v>
      </c>
      <c r="C85" s="79">
        <v>0.21329999999999999</v>
      </c>
      <c r="D85" s="79">
        <v>0.27800000000000002</v>
      </c>
    </row>
    <row r="86" spans="1:4" x14ac:dyDescent="0.2">
      <c r="A86" s="138">
        <v>86</v>
      </c>
      <c r="B86" s="139">
        <v>4.8879999999999999</v>
      </c>
      <c r="C86" s="79">
        <v>0.21199999999999999</v>
      </c>
      <c r="D86" s="79">
        <v>0.27639999999999998</v>
      </c>
    </row>
    <row r="87" spans="1:4" x14ac:dyDescent="0.2">
      <c r="A87" s="138">
        <v>87</v>
      </c>
      <c r="B87" s="139">
        <v>4.8959999999999999</v>
      </c>
      <c r="C87" s="79">
        <v>0.21079999999999999</v>
      </c>
      <c r="D87" s="79">
        <v>0.27479999999999999</v>
      </c>
    </row>
    <row r="88" spans="1:4" x14ac:dyDescent="0.2">
      <c r="A88" s="138">
        <v>88</v>
      </c>
      <c r="B88" s="139">
        <v>4.9039999999999999</v>
      </c>
      <c r="C88" s="79">
        <v>0.20960000000000001</v>
      </c>
      <c r="D88" s="79">
        <v>0.27329999999999999</v>
      </c>
    </row>
    <row r="89" spans="1:4" x14ac:dyDescent="0.2">
      <c r="A89" s="138">
        <v>89</v>
      </c>
      <c r="B89" s="139">
        <v>4.9119999999999999</v>
      </c>
      <c r="C89" s="79">
        <v>0.2084</v>
      </c>
      <c r="D89" s="79">
        <v>0.2717</v>
      </c>
    </row>
    <row r="90" spans="1:4" x14ac:dyDescent="0.2">
      <c r="A90" s="138">
        <v>90</v>
      </c>
      <c r="B90" s="139">
        <v>4.92</v>
      </c>
      <c r="C90" s="79">
        <v>0.2072</v>
      </c>
      <c r="D90" s="79">
        <v>0.2702</v>
      </c>
    </row>
    <row r="91" spans="1:4" x14ac:dyDescent="0.2">
      <c r="A91" s="138">
        <v>91</v>
      </c>
      <c r="B91" s="139">
        <v>4.9279999999999999</v>
      </c>
      <c r="C91" s="79">
        <v>0.20610000000000001</v>
      </c>
      <c r="D91" s="79">
        <v>0.26879999999999998</v>
      </c>
    </row>
    <row r="92" spans="1:4" x14ac:dyDescent="0.2">
      <c r="A92" s="138">
        <v>92</v>
      </c>
      <c r="B92" s="139">
        <v>4.9359999999999999</v>
      </c>
      <c r="C92" s="79">
        <v>0.20499999999999999</v>
      </c>
      <c r="D92" s="79">
        <v>0.26729999999999998</v>
      </c>
    </row>
    <row r="93" spans="1:4" x14ac:dyDescent="0.2">
      <c r="A93" s="138">
        <v>93</v>
      </c>
      <c r="B93" s="139">
        <v>4.944</v>
      </c>
      <c r="C93" s="79">
        <v>0.2039</v>
      </c>
      <c r="D93" s="79">
        <v>0.2959</v>
      </c>
    </row>
    <row r="94" spans="1:4" x14ac:dyDescent="0.2">
      <c r="A94" s="138">
        <v>94</v>
      </c>
      <c r="B94" s="139">
        <v>4.952</v>
      </c>
      <c r="C94" s="79">
        <v>0.20280000000000001</v>
      </c>
      <c r="D94" s="79">
        <v>0.26450000000000001</v>
      </c>
    </row>
    <row r="95" spans="1:4" x14ac:dyDescent="0.2">
      <c r="A95" s="138">
        <v>95</v>
      </c>
      <c r="B95" s="139">
        <v>4.96</v>
      </c>
      <c r="C95" s="79">
        <v>0.20169999999999999</v>
      </c>
      <c r="D95" s="79">
        <v>0.2631</v>
      </c>
    </row>
    <row r="96" spans="1:4" x14ac:dyDescent="0.2">
      <c r="A96" s="138">
        <v>96</v>
      </c>
      <c r="B96" s="139">
        <v>4.968</v>
      </c>
      <c r="C96" s="79">
        <v>0.2006</v>
      </c>
      <c r="D96" s="79">
        <v>0.26169999999999999</v>
      </c>
    </row>
    <row r="97" spans="1:4" x14ac:dyDescent="0.2">
      <c r="A97" s="138">
        <v>97</v>
      </c>
      <c r="B97" s="139">
        <v>4.976</v>
      </c>
      <c r="C97" s="79">
        <v>0.1996</v>
      </c>
      <c r="D97" s="79">
        <v>0.26040000000000002</v>
      </c>
    </row>
    <row r="98" spans="1:4" x14ac:dyDescent="0.2">
      <c r="A98" s="138">
        <v>98</v>
      </c>
      <c r="B98" s="139">
        <v>4.984</v>
      </c>
      <c r="C98" s="79">
        <v>0.1986</v>
      </c>
      <c r="D98" s="79">
        <v>0.2591</v>
      </c>
    </row>
    <row r="99" spans="1:4" x14ac:dyDescent="0.2">
      <c r="A99" s="138">
        <v>99</v>
      </c>
      <c r="B99" s="139">
        <v>4.992</v>
      </c>
      <c r="C99" s="79">
        <v>0.1976</v>
      </c>
      <c r="D99" s="79">
        <v>0.25779999999999997</v>
      </c>
    </row>
    <row r="100" spans="1:4" x14ac:dyDescent="0.2">
      <c r="A100" s="138">
        <v>100</v>
      </c>
      <c r="B100" s="139">
        <v>5</v>
      </c>
      <c r="C100" s="79">
        <v>0.1966</v>
      </c>
      <c r="D100" s="79">
        <v>0.25650000000000001</v>
      </c>
    </row>
    <row r="101" spans="1:4" x14ac:dyDescent="0.2">
      <c r="A101" s="138">
        <v>101</v>
      </c>
      <c r="B101" s="139">
        <v>5.0060000000000002</v>
      </c>
      <c r="C101" s="79">
        <v>0.1956</v>
      </c>
      <c r="D101" s="79">
        <v>0.25519999999999998</v>
      </c>
    </row>
    <row r="102" spans="1:4" x14ac:dyDescent="0.2">
      <c r="A102" s="138">
        <v>102</v>
      </c>
      <c r="B102" s="139">
        <v>5.0119999999999996</v>
      </c>
      <c r="C102" s="79">
        <v>0.1946</v>
      </c>
      <c r="D102" s="79">
        <v>0.254</v>
      </c>
    </row>
    <row r="103" spans="1:4" x14ac:dyDescent="0.2">
      <c r="A103" s="138">
        <v>103</v>
      </c>
      <c r="B103" s="139">
        <v>5.0179999999999998</v>
      </c>
      <c r="C103" s="79">
        <v>0.19370000000000001</v>
      </c>
      <c r="D103" s="79">
        <v>0.25280000000000002</v>
      </c>
    </row>
    <row r="104" spans="1:4" x14ac:dyDescent="0.2">
      <c r="A104" s="138">
        <v>104</v>
      </c>
      <c r="B104" s="139">
        <v>5.024</v>
      </c>
      <c r="C104" s="79">
        <v>0.19270000000000001</v>
      </c>
      <c r="D104" s="79">
        <v>0.2515</v>
      </c>
    </row>
    <row r="105" spans="1:4" x14ac:dyDescent="0.2">
      <c r="A105" s="138">
        <v>105</v>
      </c>
      <c r="B105" s="139">
        <v>5.03</v>
      </c>
      <c r="C105" s="79">
        <v>0.1918</v>
      </c>
      <c r="D105" s="79">
        <v>0.25040000000000001</v>
      </c>
    </row>
    <row r="106" spans="1:4" x14ac:dyDescent="0.2">
      <c r="A106" s="138">
        <v>106</v>
      </c>
      <c r="B106" s="139">
        <v>5.0359999999999996</v>
      </c>
      <c r="C106" s="79">
        <v>0.19089999999999999</v>
      </c>
      <c r="D106" s="79">
        <v>0.2492</v>
      </c>
    </row>
    <row r="107" spans="1:4" x14ac:dyDescent="0.2">
      <c r="A107" s="138">
        <v>107</v>
      </c>
      <c r="B107" s="139">
        <v>5.0419999999999998</v>
      </c>
      <c r="C107" s="79">
        <v>0.19</v>
      </c>
      <c r="D107" s="79">
        <v>0.248</v>
      </c>
    </row>
    <row r="108" spans="1:4" x14ac:dyDescent="0.2">
      <c r="A108" s="138">
        <v>108</v>
      </c>
      <c r="B108" s="139">
        <v>5.048</v>
      </c>
      <c r="C108" s="79">
        <v>0.18909999999999999</v>
      </c>
      <c r="D108" s="79">
        <v>0.24690000000000001</v>
      </c>
    </row>
    <row r="109" spans="1:4" x14ac:dyDescent="0.2">
      <c r="A109" s="138">
        <v>109</v>
      </c>
      <c r="B109" s="139">
        <v>5.0540000000000003</v>
      </c>
      <c r="C109" s="79">
        <v>0.18820000000000001</v>
      </c>
      <c r="D109" s="79">
        <v>0.24579999999999999</v>
      </c>
    </row>
    <row r="110" spans="1:4" x14ac:dyDescent="0.2">
      <c r="A110" s="138">
        <v>110</v>
      </c>
      <c r="B110" s="139">
        <v>5.0599999999999996</v>
      </c>
      <c r="C110" s="79">
        <v>0.18740000000000001</v>
      </c>
      <c r="D110" s="79">
        <v>0.2447</v>
      </c>
    </row>
    <row r="111" spans="1:4" x14ac:dyDescent="0.2">
      <c r="A111" s="138">
        <v>111</v>
      </c>
      <c r="B111" s="139">
        <v>5.0659999999999998</v>
      </c>
      <c r="C111" s="79">
        <v>0.1865</v>
      </c>
      <c r="D111" s="79">
        <v>0.24360000000000001</v>
      </c>
    </row>
    <row r="112" spans="1:4" x14ac:dyDescent="0.2">
      <c r="A112" s="138">
        <v>112</v>
      </c>
      <c r="B112" s="139">
        <v>5.0720000000000001</v>
      </c>
      <c r="C112" s="79">
        <v>0.1857</v>
      </c>
      <c r="D112" s="79">
        <v>0.24249999999999999</v>
      </c>
    </row>
    <row r="113" spans="1:4" x14ac:dyDescent="0.2">
      <c r="A113" s="138">
        <v>113</v>
      </c>
      <c r="B113" s="139">
        <v>5.0780000000000003</v>
      </c>
      <c r="C113" s="79">
        <v>0.18479999999999999</v>
      </c>
      <c r="D113" s="79">
        <v>0.2414</v>
      </c>
    </row>
    <row r="114" spans="1:4" x14ac:dyDescent="0.2">
      <c r="A114" s="138">
        <v>114</v>
      </c>
      <c r="B114" s="139">
        <v>5.0839999999999996</v>
      </c>
      <c r="C114" s="79">
        <v>0.184</v>
      </c>
      <c r="D114" s="79">
        <v>0.2404</v>
      </c>
    </row>
    <row r="115" spans="1:4" x14ac:dyDescent="0.2">
      <c r="A115" s="138">
        <v>115</v>
      </c>
      <c r="B115" s="139">
        <v>5.09</v>
      </c>
      <c r="C115" s="79">
        <v>0.1832</v>
      </c>
      <c r="D115" s="79">
        <v>0.23930000000000001</v>
      </c>
    </row>
    <row r="116" spans="1:4" x14ac:dyDescent="0.2">
      <c r="A116" s="138">
        <v>116</v>
      </c>
      <c r="B116" s="139">
        <v>5.0960000000000001</v>
      </c>
      <c r="C116" s="79">
        <v>0.18240000000000001</v>
      </c>
      <c r="D116" s="79">
        <v>0.23830000000000001</v>
      </c>
    </row>
    <row r="117" spans="1:4" x14ac:dyDescent="0.2">
      <c r="A117" s="138">
        <v>117</v>
      </c>
      <c r="B117" s="139">
        <v>5.1020000000000003</v>
      </c>
      <c r="C117" s="79">
        <v>0.18160000000000001</v>
      </c>
      <c r="D117" s="79">
        <v>0.23730000000000001</v>
      </c>
    </row>
    <row r="118" spans="1:4" x14ac:dyDescent="0.2">
      <c r="A118" s="138">
        <v>118</v>
      </c>
      <c r="B118" s="139">
        <v>5.1079999999999997</v>
      </c>
      <c r="C118" s="79">
        <v>0.18090000000000001</v>
      </c>
      <c r="D118" s="79">
        <v>0.23630000000000001</v>
      </c>
    </row>
    <row r="119" spans="1:4" x14ac:dyDescent="0.2">
      <c r="A119" s="138">
        <v>119</v>
      </c>
      <c r="B119" s="139">
        <v>5.1139999999999999</v>
      </c>
      <c r="C119" s="79">
        <v>0.18010000000000001</v>
      </c>
      <c r="D119" s="79">
        <v>0.23530000000000001</v>
      </c>
    </row>
    <row r="120" spans="1:4" x14ac:dyDescent="0.2">
      <c r="A120" s="138">
        <v>120</v>
      </c>
      <c r="B120" s="139">
        <v>5.12</v>
      </c>
      <c r="C120" s="79">
        <v>0.17929999999999999</v>
      </c>
      <c r="D120" s="79">
        <v>0.23430000000000001</v>
      </c>
    </row>
    <row r="121" spans="1:4" x14ac:dyDescent="0.2">
      <c r="A121" s="138">
        <v>121</v>
      </c>
      <c r="B121" s="139">
        <v>5.1260000000000003</v>
      </c>
      <c r="C121" s="79">
        <v>0.17860000000000001</v>
      </c>
      <c r="D121" s="79">
        <v>0.2334</v>
      </c>
    </row>
    <row r="122" spans="1:4" x14ac:dyDescent="0.2">
      <c r="A122" s="138">
        <v>122</v>
      </c>
      <c r="B122" s="139">
        <v>5.1319999999999997</v>
      </c>
      <c r="C122" s="79">
        <v>0.1779</v>
      </c>
      <c r="D122" s="79">
        <v>0.2324</v>
      </c>
    </row>
    <row r="123" spans="1:4" x14ac:dyDescent="0.2">
      <c r="A123" s="138">
        <v>123</v>
      </c>
      <c r="B123" s="139">
        <v>5.1379999999999999</v>
      </c>
      <c r="C123" s="79">
        <v>0.17710000000000001</v>
      </c>
      <c r="D123" s="79">
        <v>0.23150000000000001</v>
      </c>
    </row>
    <row r="124" spans="1:4" x14ac:dyDescent="0.2">
      <c r="A124" s="138">
        <v>124</v>
      </c>
      <c r="B124" s="139">
        <v>5.1440000000000001</v>
      </c>
      <c r="C124" s="79">
        <v>0.1764</v>
      </c>
      <c r="D124" s="79">
        <v>0.23050000000000001</v>
      </c>
    </row>
    <row r="125" spans="1:4" x14ac:dyDescent="0.2">
      <c r="A125" s="138">
        <v>125</v>
      </c>
      <c r="B125" s="139">
        <v>5.15</v>
      </c>
      <c r="C125" s="79">
        <v>0.1757</v>
      </c>
      <c r="D125" s="79">
        <v>0.2296</v>
      </c>
    </row>
    <row r="126" spans="1:4" x14ac:dyDescent="0.2">
      <c r="A126" s="138">
        <v>126</v>
      </c>
      <c r="B126" s="139">
        <v>5.1559999999999997</v>
      </c>
      <c r="C126" s="79">
        <v>0.17499999999999999</v>
      </c>
      <c r="D126" s="79">
        <v>0.22869999999999999</v>
      </c>
    </row>
    <row r="127" spans="1:4" x14ac:dyDescent="0.2">
      <c r="A127" s="138">
        <v>127</v>
      </c>
      <c r="B127" s="139">
        <v>5.1619999999999999</v>
      </c>
      <c r="C127" s="79">
        <v>0.17430000000000001</v>
      </c>
      <c r="D127" s="79">
        <v>0.2278</v>
      </c>
    </row>
    <row r="128" spans="1:4" x14ac:dyDescent="0.2">
      <c r="A128" s="138">
        <v>128</v>
      </c>
      <c r="B128" s="139">
        <v>5.1680000000000001</v>
      </c>
      <c r="C128" s="79">
        <v>0.1736</v>
      </c>
      <c r="D128" s="79">
        <v>0.22689999999999999</v>
      </c>
    </row>
    <row r="129" spans="1:4" x14ac:dyDescent="0.2">
      <c r="A129" s="138">
        <v>129</v>
      </c>
      <c r="B129" s="139">
        <v>5.1739999999999995</v>
      </c>
      <c r="C129" s="79">
        <v>0.17299999999999999</v>
      </c>
      <c r="D129" s="79">
        <v>0.2261</v>
      </c>
    </row>
    <row r="130" spans="1:4" x14ac:dyDescent="0.2">
      <c r="A130" s="138">
        <v>130</v>
      </c>
      <c r="B130" s="139">
        <v>5.18</v>
      </c>
      <c r="C130" s="79">
        <v>0.17230000000000001</v>
      </c>
      <c r="D130" s="79">
        <v>0.22520000000000001</v>
      </c>
    </row>
    <row r="131" spans="1:4" x14ac:dyDescent="0.2">
      <c r="A131" s="138">
        <v>131</v>
      </c>
      <c r="B131" s="139">
        <v>5.1859999999999999</v>
      </c>
      <c r="C131" s="79">
        <v>0.1716</v>
      </c>
      <c r="D131" s="79">
        <v>0.2243</v>
      </c>
    </row>
    <row r="132" spans="1:4" x14ac:dyDescent="0.2">
      <c r="A132" s="138">
        <v>132</v>
      </c>
      <c r="B132" s="139">
        <v>5.1920000000000002</v>
      </c>
      <c r="C132" s="79">
        <v>0.17100000000000001</v>
      </c>
      <c r="D132" s="79">
        <v>0.2235</v>
      </c>
    </row>
    <row r="133" spans="1:4" x14ac:dyDescent="0.2">
      <c r="A133" s="138">
        <v>133</v>
      </c>
      <c r="B133" s="139">
        <v>5.1979999999999995</v>
      </c>
      <c r="C133" s="79">
        <v>0.17030000000000001</v>
      </c>
      <c r="D133" s="79">
        <v>0.22259999999999999</v>
      </c>
    </row>
    <row r="134" spans="1:4" x14ac:dyDescent="0.2">
      <c r="A134" s="138">
        <v>134</v>
      </c>
      <c r="B134" s="139">
        <v>5.2039999999999997</v>
      </c>
      <c r="C134" s="79">
        <v>0.16969999999999999</v>
      </c>
      <c r="D134" s="79">
        <v>0.2218</v>
      </c>
    </row>
    <row r="135" spans="1:4" x14ac:dyDescent="0.2">
      <c r="A135" s="138">
        <v>135</v>
      </c>
      <c r="B135" s="139">
        <v>5.21</v>
      </c>
      <c r="C135" s="79">
        <v>0.16900000000000001</v>
      </c>
      <c r="D135" s="79">
        <v>0.221</v>
      </c>
    </row>
    <row r="136" spans="1:4" x14ac:dyDescent="0.2">
      <c r="A136" s="138">
        <v>136</v>
      </c>
      <c r="B136" s="139">
        <v>5.2160000000000002</v>
      </c>
      <c r="C136" s="79">
        <v>0.16839999999999999</v>
      </c>
      <c r="D136" s="79">
        <v>0.22020000000000001</v>
      </c>
    </row>
    <row r="137" spans="1:4" x14ac:dyDescent="0.2">
      <c r="A137" s="138">
        <v>137</v>
      </c>
      <c r="B137" s="139">
        <v>5.2219999999999995</v>
      </c>
      <c r="C137" s="79">
        <v>0.1678</v>
      </c>
      <c r="D137" s="79">
        <v>0.21940000000000001</v>
      </c>
    </row>
    <row r="138" spans="1:4" x14ac:dyDescent="0.2">
      <c r="A138" s="138">
        <v>138</v>
      </c>
      <c r="B138" s="139">
        <v>5.2279999999999998</v>
      </c>
      <c r="C138" s="79">
        <v>0.16719999999999999</v>
      </c>
      <c r="D138" s="79">
        <v>0.21859999999999999</v>
      </c>
    </row>
    <row r="139" spans="1:4" x14ac:dyDescent="0.2">
      <c r="A139" s="138">
        <v>139</v>
      </c>
      <c r="B139" s="139">
        <v>5.234</v>
      </c>
      <c r="C139" s="79">
        <v>0.1666</v>
      </c>
      <c r="D139" s="79">
        <v>0.21779999999999999</v>
      </c>
    </row>
    <row r="140" spans="1:4" x14ac:dyDescent="0.2">
      <c r="A140" s="138">
        <v>140</v>
      </c>
      <c r="B140" s="139">
        <v>5.24</v>
      </c>
      <c r="C140" s="79">
        <v>0.16600000000000001</v>
      </c>
      <c r="D140" s="79">
        <v>0.217</v>
      </c>
    </row>
    <row r="141" spans="1:4" x14ac:dyDescent="0.2">
      <c r="A141" s="138">
        <v>141</v>
      </c>
      <c r="B141" s="139">
        <v>5.2459999999999996</v>
      </c>
      <c r="C141" s="79">
        <v>0.16539999999999999</v>
      </c>
      <c r="D141" s="79">
        <v>0.21629999999999999</v>
      </c>
    </row>
    <row r="142" spans="1:4" x14ac:dyDescent="0.2">
      <c r="A142" s="138">
        <v>142</v>
      </c>
      <c r="B142" s="139">
        <v>5.2519999999999998</v>
      </c>
      <c r="C142" s="79">
        <v>0.1648</v>
      </c>
      <c r="D142" s="79">
        <v>0.2155</v>
      </c>
    </row>
    <row r="143" spans="1:4" x14ac:dyDescent="0.2">
      <c r="A143" s="138">
        <v>143</v>
      </c>
      <c r="B143" s="139">
        <v>5.258</v>
      </c>
      <c r="C143" s="79">
        <v>0.16420000000000001</v>
      </c>
      <c r="D143" s="79">
        <v>0.21479999999999999</v>
      </c>
    </row>
    <row r="144" spans="1:4" x14ac:dyDescent="0.2">
      <c r="A144" s="138">
        <v>144</v>
      </c>
      <c r="B144" s="139">
        <v>5.2640000000000002</v>
      </c>
      <c r="C144" s="79">
        <v>0.16370000000000001</v>
      </c>
      <c r="D144" s="79">
        <v>0.214</v>
      </c>
    </row>
    <row r="145" spans="1:4" x14ac:dyDescent="0.2">
      <c r="A145" s="138">
        <v>145</v>
      </c>
      <c r="B145" s="139">
        <v>5.27</v>
      </c>
      <c r="C145" s="79">
        <v>0.16309999999999999</v>
      </c>
      <c r="D145" s="79">
        <v>0.21329999999999999</v>
      </c>
    </row>
    <row r="146" spans="1:4" x14ac:dyDescent="0.2">
      <c r="A146" s="138">
        <v>146</v>
      </c>
      <c r="B146" s="139">
        <v>5.2759999999999998</v>
      </c>
      <c r="C146" s="79">
        <v>0.16250000000000001</v>
      </c>
      <c r="D146" s="79">
        <v>0.21260000000000001</v>
      </c>
    </row>
    <row r="147" spans="1:4" x14ac:dyDescent="0.2">
      <c r="A147" s="138">
        <v>147</v>
      </c>
      <c r="B147" s="139">
        <v>5.282</v>
      </c>
      <c r="C147" s="79">
        <v>0.16200000000000001</v>
      </c>
      <c r="D147" s="79">
        <v>0.21179999999999999</v>
      </c>
    </row>
    <row r="148" spans="1:4" x14ac:dyDescent="0.2">
      <c r="A148" s="138">
        <v>148</v>
      </c>
      <c r="B148" s="139">
        <v>5.2880000000000003</v>
      </c>
      <c r="C148" s="79">
        <v>0.16139999999999999</v>
      </c>
      <c r="D148" s="79">
        <v>0.21110000000000001</v>
      </c>
    </row>
    <row r="149" spans="1:4" x14ac:dyDescent="0.2">
      <c r="A149" s="138">
        <v>149</v>
      </c>
      <c r="B149" s="139">
        <v>5.2939999999999996</v>
      </c>
      <c r="C149" s="79">
        <v>0.16089999999999999</v>
      </c>
      <c r="D149" s="79">
        <v>0.2104</v>
      </c>
    </row>
    <row r="150" spans="1:4" x14ac:dyDescent="0.2">
      <c r="A150" s="138">
        <v>150</v>
      </c>
      <c r="B150" s="139">
        <v>5.3</v>
      </c>
      <c r="C150" s="79">
        <v>0.1603</v>
      </c>
      <c r="D150" s="79">
        <v>0.2097</v>
      </c>
    </row>
  </sheetData>
  <sheetProtection sheet="1" objects="1" scenarios="1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topLeftCell="A7" zoomScale="75" workbookViewId="0">
      <selection activeCell="M51" sqref="M51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120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36769</v>
      </c>
      <c r="N3" s="57">
        <v>1.5</v>
      </c>
      <c r="O3" s="58">
        <f t="shared" ref="O3:O66" si="0">IF($N3&gt;0,LN($N3+$B$26))</f>
        <v>0.40546510810816438</v>
      </c>
      <c r="T3" s="69" t="s">
        <v>109</v>
      </c>
      <c r="U3" s="82">
        <f>$B$21</f>
        <v>11.125782952713708</v>
      </c>
      <c r="V3" s="82">
        <f t="shared" ref="V3:V10" si="1">U3</f>
        <v>11.125782952713708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36895</v>
      </c>
      <c r="N4" s="57">
        <v>1.7</v>
      </c>
      <c r="O4" s="58">
        <f t="shared" si="0"/>
        <v>0.53062825106217038</v>
      </c>
      <c r="T4" s="69" t="s">
        <v>111</v>
      </c>
      <c r="U4" s="82">
        <f>$B$31</f>
        <v>13.161299184560592</v>
      </c>
      <c r="V4" s="82">
        <f t="shared" si="1"/>
        <v>13.161299184560592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37333</v>
      </c>
      <c r="N5" s="57">
        <v>3.1</v>
      </c>
      <c r="O5" s="58">
        <f t="shared" si="0"/>
        <v>1.1314021114911006</v>
      </c>
      <c r="T5" s="69" t="s">
        <v>110</v>
      </c>
      <c r="U5" s="82">
        <f>$B$22</f>
        <v>12.076326105231239</v>
      </c>
      <c r="V5" s="82">
        <f t="shared" si="1"/>
        <v>12.076326105231239</v>
      </c>
    </row>
    <row r="6" spans="1:24" ht="15" customHeight="1" x14ac:dyDescent="0.2">
      <c r="A6" s="107" t="s">
        <v>18</v>
      </c>
      <c r="B6" s="20" t="s">
        <v>93</v>
      </c>
      <c r="C6" s="18"/>
      <c r="M6" s="56">
        <v>37540</v>
      </c>
      <c r="N6" s="57">
        <v>1.4</v>
      </c>
      <c r="O6" s="58">
        <f t="shared" si="0"/>
        <v>0.33647223662121289</v>
      </c>
      <c r="T6" s="69" t="s">
        <v>29</v>
      </c>
      <c r="U6" s="82">
        <f>$B$32</f>
        <v>16.456723628247154</v>
      </c>
      <c r="V6" s="82">
        <f t="shared" si="1"/>
        <v>16.456723628247154</v>
      </c>
    </row>
    <row r="7" spans="1:24" ht="15" customHeight="1" x14ac:dyDescent="0.2">
      <c r="D7" s="4"/>
      <c r="F7" s="5"/>
      <c r="M7" s="56">
        <v>37677</v>
      </c>
      <c r="N7" s="57">
        <v>3.1</v>
      </c>
      <c r="O7" s="58">
        <f t="shared" si="0"/>
        <v>1.1314021114911006</v>
      </c>
      <c r="T7" s="69" t="s">
        <v>31</v>
      </c>
      <c r="U7" s="82">
        <f>$C$21</f>
        <v>0.95595617772106944</v>
      </c>
      <c r="V7" s="82">
        <f t="shared" si="1"/>
        <v>0.95595617772106944</v>
      </c>
    </row>
    <row r="8" spans="1:24" ht="15" customHeight="1" x14ac:dyDescent="0.25">
      <c r="A8" s="140" t="s">
        <v>12</v>
      </c>
      <c r="B8" s="140"/>
      <c r="C8" s="140"/>
      <c r="D8" s="4"/>
      <c r="M8" s="56">
        <v>37852</v>
      </c>
      <c r="N8" s="57">
        <v>1.5</v>
      </c>
      <c r="O8" s="58">
        <f t="shared" si="0"/>
        <v>0.40546510810816438</v>
      </c>
      <c r="T8" s="69" t="s">
        <v>32</v>
      </c>
      <c r="U8" s="82">
        <f>$C$31</f>
        <v>0.60731650293733819</v>
      </c>
      <c r="V8" s="82">
        <f t="shared" si="1"/>
        <v>0.60731650293733819</v>
      </c>
    </row>
    <row r="9" spans="1:24" ht="15" customHeight="1" x14ac:dyDescent="0.2">
      <c r="A9" s="101" t="s">
        <v>11</v>
      </c>
      <c r="B9" s="59">
        <f>COUNT($M$3:$M252)</f>
        <v>46</v>
      </c>
      <c r="C9" s="60"/>
      <c r="D9" s="4"/>
      <c r="M9" s="56">
        <v>38055</v>
      </c>
      <c r="N9" s="57">
        <v>3.4</v>
      </c>
      <c r="O9" s="58">
        <f t="shared" si="0"/>
        <v>1.2237754316221157</v>
      </c>
      <c r="T9" s="69" t="s">
        <v>112</v>
      </c>
      <c r="U9" s="82">
        <f>$C$22</f>
        <v>5.4130252035387016E-3</v>
      </c>
      <c r="V9" s="82">
        <f t="shared" si="1"/>
        <v>5.4130252035387016E-3</v>
      </c>
    </row>
    <row r="10" spans="1:24" ht="15" customHeight="1" x14ac:dyDescent="0.2">
      <c r="A10" s="102" t="s">
        <v>7</v>
      </c>
      <c r="B10" s="61">
        <f>MIN($N$3:$N$252)</f>
        <v>1.4</v>
      </c>
      <c r="C10" s="60"/>
      <c r="D10" s="4"/>
      <c r="M10" s="56">
        <v>38264</v>
      </c>
      <c r="N10" s="57">
        <v>1.6</v>
      </c>
      <c r="O10" s="58">
        <f t="shared" si="0"/>
        <v>0.47000362924573563</v>
      </c>
      <c r="T10" s="69" t="s">
        <v>113</v>
      </c>
      <c r="U10" s="82">
        <f>$C$32</f>
        <v>0.40709468821750661</v>
      </c>
      <c r="V10" s="82">
        <f t="shared" si="1"/>
        <v>0.40709468821750661</v>
      </c>
    </row>
    <row r="11" spans="1:24" ht="15" customHeight="1" x14ac:dyDescent="0.2">
      <c r="A11" s="102" t="s">
        <v>8</v>
      </c>
      <c r="B11" s="61">
        <f>MAX($N$3:$N$252)</f>
        <v>12.8</v>
      </c>
      <c r="C11" s="60"/>
      <c r="D11" s="4"/>
      <c r="M11" s="56">
        <v>38421</v>
      </c>
      <c r="N11" s="57">
        <v>4.2</v>
      </c>
      <c r="O11" s="58">
        <f t="shared" si="0"/>
        <v>1.4350845252893227</v>
      </c>
      <c r="T11" s="69" t="s">
        <v>68</v>
      </c>
      <c r="U11" s="82">
        <f>$B$12</f>
        <v>6.5</v>
      </c>
      <c r="V11" s="82">
        <f>U11</f>
        <v>6.5</v>
      </c>
    </row>
    <row r="12" spans="1:24" ht="15" customHeight="1" x14ac:dyDescent="0.2">
      <c r="A12" s="102" t="s">
        <v>68</v>
      </c>
      <c r="B12" s="62">
        <f>MEDIAN($N$3:$N$252)</f>
        <v>6.5</v>
      </c>
      <c r="C12" s="50"/>
      <c r="D12" s="4"/>
      <c r="M12" s="56">
        <v>38631</v>
      </c>
      <c r="N12" s="57">
        <v>3.6</v>
      </c>
      <c r="O12" s="58">
        <f t="shared" si="0"/>
        <v>1.2809338454620642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38747</v>
      </c>
      <c r="N13" s="57">
        <v>4.9000000000000004</v>
      </c>
      <c r="O13" s="58">
        <f t="shared" si="0"/>
        <v>1.589235205116581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38944</v>
      </c>
      <c r="N14" s="57">
        <v>3.9</v>
      </c>
      <c r="O14" s="58">
        <f t="shared" si="0"/>
        <v>1.3609765531356006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39115</v>
      </c>
      <c r="N15" s="57">
        <v>6.4</v>
      </c>
      <c r="O15" s="58">
        <f t="shared" si="0"/>
        <v>1.8562979903656263</v>
      </c>
      <c r="T15" s="69">
        <v>1</v>
      </c>
      <c r="U15" s="77">
        <f t="shared" ref="U15:U39" si="3">$B$36+T15*$B$38</f>
        <v>0.53760000000000008</v>
      </c>
      <c r="V15" s="84">
        <f>FREQUENCY($N$3:$N$252,$U$15:$U$39)</f>
        <v>0</v>
      </c>
      <c r="W15" s="79">
        <f t="shared" ref="W15:W39" si="4">(U15+U14)/2</f>
        <v>0.26880000000000004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6.0408695652173892</v>
      </c>
      <c r="C16" s="60"/>
      <c r="M16" s="56">
        <v>39318</v>
      </c>
      <c r="N16" s="57">
        <v>5.2</v>
      </c>
      <c r="O16" s="58">
        <f t="shared" si="0"/>
        <v>1.6486586255873816</v>
      </c>
      <c r="T16" s="69">
        <v>2</v>
      </c>
      <c r="U16" s="77">
        <f t="shared" si="3"/>
        <v>1.0752000000000002</v>
      </c>
      <c r="V16" s="84">
        <f t="array" ref="V16:V40">FREQUENCY($N$3:$N$252,$U$15:$U$39)</f>
        <v>0</v>
      </c>
      <c r="W16" s="79">
        <f t="shared" si="4"/>
        <v>0.80640000000000012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2.59439123759695</v>
      </c>
      <c r="C17" s="60"/>
      <c r="D17" s="4"/>
      <c r="M17" s="56">
        <v>39492</v>
      </c>
      <c r="N17" s="57">
        <v>7</v>
      </c>
      <c r="O17" s="58">
        <f t="shared" si="0"/>
        <v>1.9459101490553132</v>
      </c>
      <c r="T17" s="69">
        <v>3</v>
      </c>
      <c r="U17" s="77">
        <f t="shared" si="3"/>
        <v>1.6128000000000002</v>
      </c>
      <c r="V17" s="84">
        <v>0</v>
      </c>
      <c r="W17" s="79">
        <f t="shared" si="4"/>
        <v>1.3440000000000003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-0.18547142813596221</v>
      </c>
      <c r="C18" s="114" t="s">
        <v>45</v>
      </c>
      <c r="D18" s="4"/>
      <c r="J18" s="6"/>
      <c r="M18" s="56">
        <v>39723</v>
      </c>
      <c r="N18" s="57">
        <v>3.7</v>
      </c>
      <c r="O18" s="58">
        <f t="shared" si="0"/>
        <v>1.3083328196501789</v>
      </c>
      <c r="T18" s="69">
        <v>4</v>
      </c>
      <c r="U18" s="77">
        <f t="shared" si="3"/>
        <v>2.1504000000000003</v>
      </c>
      <c r="V18" s="84">
        <v>4</v>
      </c>
      <c r="W18" s="79">
        <f t="shared" si="4"/>
        <v>1.8816000000000002</v>
      </c>
      <c r="X18" s="80">
        <f t="shared" si="2"/>
        <v>0.16174948240165629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39842</v>
      </c>
      <c r="N19" s="57">
        <v>5.2</v>
      </c>
      <c r="O19" s="58">
        <f t="shared" si="0"/>
        <v>1.6486586255873816</v>
      </c>
      <c r="T19" s="69">
        <v>5</v>
      </c>
      <c r="U19" s="77">
        <f t="shared" si="3"/>
        <v>2.6880000000000006</v>
      </c>
      <c r="V19" s="84">
        <v>1</v>
      </c>
      <c r="W19" s="79">
        <f t="shared" si="4"/>
        <v>2.4192000000000005</v>
      </c>
      <c r="X19" s="80">
        <f t="shared" si="2"/>
        <v>4.0437370600414073E-2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nein</v>
      </c>
      <c r="C20" s="50"/>
      <c r="D20" s="4"/>
      <c r="J20" s="6"/>
      <c r="M20" s="56">
        <v>40024</v>
      </c>
      <c r="N20" s="57">
        <v>5.0999999999999996</v>
      </c>
      <c r="O20" s="58">
        <f t="shared" si="0"/>
        <v>1.62924053973028</v>
      </c>
      <c r="T20" s="69">
        <v>6</v>
      </c>
      <c r="U20" s="77">
        <f t="shared" si="3"/>
        <v>3.2256000000000005</v>
      </c>
      <c r="V20" s="84">
        <v>0</v>
      </c>
      <c r="W20" s="79">
        <f t="shared" si="4"/>
        <v>2.9568000000000003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11.125782952713708</v>
      </c>
      <c r="C21" s="62">
        <f>NORMINV(0.025,$B$16,$B$17)</f>
        <v>0.95595617772106944</v>
      </c>
      <c r="D21" s="4"/>
      <c r="M21" s="56">
        <v>40198</v>
      </c>
      <c r="N21" s="57">
        <v>6.9</v>
      </c>
      <c r="O21" s="58">
        <f t="shared" si="0"/>
        <v>1.9315214116032138</v>
      </c>
      <c r="T21" s="69">
        <v>7</v>
      </c>
      <c r="U21" s="77">
        <f t="shared" si="3"/>
        <v>3.7632000000000003</v>
      </c>
      <c r="V21" s="84">
        <v>2</v>
      </c>
      <c r="W21" s="79">
        <f t="shared" si="4"/>
        <v>3.4944000000000006</v>
      </c>
      <c r="X21" s="80">
        <f t="shared" si="2"/>
        <v>8.0874741200828146E-2</v>
      </c>
    </row>
    <row r="22" spans="1:24" ht="15" customHeight="1" x14ac:dyDescent="0.2">
      <c r="A22" s="104" t="s">
        <v>77</v>
      </c>
      <c r="B22" s="62">
        <f>NORMINV(0.99,$B$16,$B$17)</f>
        <v>12.076326105231239</v>
      </c>
      <c r="C22" s="62">
        <f>NORMINV(0.01,B16,B17)</f>
        <v>5.4130252035387016E-3</v>
      </c>
      <c r="M22" s="56">
        <v>40329</v>
      </c>
      <c r="N22" s="57">
        <v>6.17</v>
      </c>
      <c r="O22" s="58">
        <f t="shared" si="0"/>
        <v>1.8196988379172965</v>
      </c>
      <c r="T22" s="69">
        <v>8</v>
      </c>
      <c r="U22" s="77">
        <f t="shared" si="3"/>
        <v>4.3008000000000006</v>
      </c>
      <c r="V22" s="84">
        <v>3</v>
      </c>
      <c r="W22" s="79">
        <f t="shared" si="4"/>
        <v>4.032</v>
      </c>
      <c r="X22" s="80">
        <f t="shared" si="2"/>
        <v>0.12131211180124223</v>
      </c>
    </row>
    <row r="23" spans="1:24" ht="15" customHeight="1" x14ac:dyDescent="0.25">
      <c r="E23" s="144" t="s">
        <v>80</v>
      </c>
      <c r="F23" s="144"/>
      <c r="G23" s="144"/>
      <c r="M23" s="56">
        <v>40409</v>
      </c>
      <c r="N23" s="57">
        <v>5.6</v>
      </c>
      <c r="O23" s="58">
        <f t="shared" si="0"/>
        <v>1.7227665977411035</v>
      </c>
      <c r="T23" s="69">
        <v>9</v>
      </c>
      <c r="U23" s="77">
        <f t="shared" si="3"/>
        <v>4.8384000000000009</v>
      </c>
      <c r="V23" s="84">
        <v>2</v>
      </c>
      <c r="W23" s="79">
        <f t="shared" si="4"/>
        <v>4.5696000000000012</v>
      </c>
      <c r="X23" s="80">
        <f t="shared" si="2"/>
        <v>8.0874741200828146E-2</v>
      </c>
    </row>
    <row r="24" spans="1:24" ht="15" customHeight="1" x14ac:dyDescent="0.2">
      <c r="M24" s="56">
        <v>40487</v>
      </c>
      <c r="N24" s="57">
        <v>9.89</v>
      </c>
      <c r="O24" s="58">
        <f t="shared" si="0"/>
        <v>2.2915241456346207</v>
      </c>
      <c r="T24" s="69">
        <v>10</v>
      </c>
      <c r="U24" s="77">
        <f t="shared" si="3"/>
        <v>5.3760000000000012</v>
      </c>
      <c r="V24" s="84">
        <v>1</v>
      </c>
      <c r="W24" s="79">
        <f t="shared" si="4"/>
        <v>5.1072000000000006</v>
      </c>
      <c r="X24" s="80">
        <f t="shared" si="2"/>
        <v>4.0437370600414073E-2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40639</v>
      </c>
      <c r="N25" s="57">
        <v>7.3</v>
      </c>
      <c r="O25" s="58">
        <f t="shared" si="0"/>
        <v>1.9878743481543455</v>
      </c>
      <c r="Q25" s="75" t="s">
        <v>68</v>
      </c>
      <c r="R25" s="75">
        <f>MEDIAN($O$3:$O$252)</f>
        <v>1.8718021769015913</v>
      </c>
      <c r="T25" s="69">
        <v>11</v>
      </c>
      <c r="U25" s="77">
        <f t="shared" si="3"/>
        <v>5.9136000000000006</v>
      </c>
      <c r="V25" s="84">
        <v>5</v>
      </c>
      <c r="W25" s="79">
        <f t="shared" si="4"/>
        <v>5.6448000000000009</v>
      </c>
      <c r="X25" s="80">
        <f t="shared" si="2"/>
        <v>0.20218685300207037</v>
      </c>
    </row>
    <row r="26" spans="1:24" ht="15" customHeight="1" x14ac:dyDescent="0.2">
      <c r="A26" s="86" t="s">
        <v>36</v>
      </c>
      <c r="B26" s="93">
        <v>0</v>
      </c>
      <c r="C26" s="62"/>
      <c r="E26" s="7" t="e">
        <f>AVERAGE(C50:C199)</f>
        <v>#DIV/0!</v>
      </c>
      <c r="M26" s="56">
        <v>40744</v>
      </c>
      <c r="N26" s="57">
        <v>8.34</v>
      </c>
      <c r="O26" s="58">
        <f t="shared" si="0"/>
        <v>2.1210632163706555</v>
      </c>
      <c r="Q26" s="75" t="s">
        <v>73</v>
      </c>
      <c r="R26" s="75">
        <f>AVERAGE($O$3:$O$252)</f>
        <v>1.6783994763312291</v>
      </c>
      <c r="T26" s="69">
        <v>12</v>
      </c>
      <c r="U26" s="77">
        <f t="shared" si="3"/>
        <v>6.4512000000000009</v>
      </c>
      <c r="V26" s="84">
        <v>2</v>
      </c>
      <c r="W26" s="79">
        <f t="shared" si="4"/>
        <v>6.1824000000000012</v>
      </c>
      <c r="X26" s="80">
        <f t="shared" si="2"/>
        <v>8.0874741200828146E-2</v>
      </c>
    </row>
    <row r="27" spans="1:24" ht="15" customHeight="1" x14ac:dyDescent="0.2">
      <c r="A27" s="65" t="s">
        <v>17</v>
      </c>
      <c r="B27" s="62">
        <f>EXP($R$26)</f>
        <v>5.3569751405370791</v>
      </c>
      <c r="C27" s="62"/>
      <c r="E27" s="7" t="e">
        <f>STDEV(C50:C199)</f>
        <v>#DIV/0!</v>
      </c>
      <c r="F27" s="7" t="e">
        <f>NORMINV(0.025,$E26,$E27)</f>
        <v>#DIV/0!</v>
      </c>
      <c r="M27" s="56">
        <v>40799</v>
      </c>
      <c r="N27" s="57">
        <v>6.9</v>
      </c>
      <c r="O27" s="58">
        <f t="shared" si="0"/>
        <v>1.9315214116032138</v>
      </c>
      <c r="Q27" s="75" t="s">
        <v>104</v>
      </c>
      <c r="R27" s="75">
        <f>STDEV($O$3:$O$252)</f>
        <v>0.54648094650843426</v>
      </c>
      <c r="T27" s="69">
        <v>13</v>
      </c>
      <c r="U27" s="77">
        <f t="shared" si="3"/>
        <v>6.9888000000000012</v>
      </c>
      <c r="V27" s="84">
        <v>2</v>
      </c>
      <c r="W27" s="79">
        <f t="shared" si="4"/>
        <v>6.7200000000000006</v>
      </c>
      <c r="X27" s="80">
        <f t="shared" si="2"/>
        <v>8.0874741200828146E-2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-0.37090604565879165</v>
      </c>
      <c r="C28" s="115" t="s">
        <v>45</v>
      </c>
      <c r="F28" s="7" t="e">
        <f>NORMINV(0.01,$E$26,$E$27)</f>
        <v>#DIV/0!</v>
      </c>
      <c r="M28" s="56">
        <v>40898</v>
      </c>
      <c r="N28" s="57">
        <v>10.1</v>
      </c>
      <c r="O28" s="58">
        <f t="shared" si="0"/>
        <v>2.3125354238472138</v>
      </c>
      <c r="Q28" s="75" t="s">
        <v>108</v>
      </c>
      <c r="R28" s="75">
        <f>NORMINV(0.025,$R$26,$R$27)</f>
        <v>0.60731650293733819</v>
      </c>
      <c r="T28" s="69">
        <v>14</v>
      </c>
      <c r="U28" s="77">
        <f t="shared" si="3"/>
        <v>7.5264000000000006</v>
      </c>
      <c r="V28" s="84">
        <v>6</v>
      </c>
      <c r="W28" s="79">
        <f t="shared" si="4"/>
        <v>7.2576000000000009</v>
      </c>
      <c r="X28" s="80">
        <f t="shared" si="2"/>
        <v>0.24262422360248445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mäßig</v>
      </c>
      <c r="C29" s="62"/>
      <c r="M29" s="56">
        <v>40977</v>
      </c>
      <c r="N29" s="57">
        <v>7</v>
      </c>
      <c r="O29" s="58">
        <f t="shared" si="0"/>
        <v>1.9459101490553132</v>
      </c>
      <c r="Q29" s="75" t="s">
        <v>107</v>
      </c>
      <c r="R29" s="75">
        <f>NORMINV(0.01,$R$26,$R$27)</f>
        <v>0.40709468821750661</v>
      </c>
      <c r="T29" s="69">
        <v>15</v>
      </c>
      <c r="U29" s="77">
        <f t="shared" si="3"/>
        <v>8.0640000000000018</v>
      </c>
      <c r="V29" s="84">
        <v>9</v>
      </c>
      <c r="W29" s="79">
        <f t="shared" si="4"/>
        <v>7.7952000000000012</v>
      </c>
      <c r="X29" s="80">
        <f t="shared" si="2"/>
        <v>0.36393633540372666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41086</v>
      </c>
      <c r="N30" s="57">
        <v>8.5299999999999994</v>
      </c>
      <c r="O30" s="58">
        <f t="shared" si="0"/>
        <v>2.1435893615035875</v>
      </c>
      <c r="Q30" s="75" t="s">
        <v>105</v>
      </c>
      <c r="R30" s="75">
        <f>NORMINV(0.95,$R$26,$R$27)</f>
        <v>2.5772806432555004</v>
      </c>
      <c r="T30" s="69">
        <v>16</v>
      </c>
      <c r="U30" s="77">
        <f t="shared" si="3"/>
        <v>8.6016000000000012</v>
      </c>
      <c r="V30" s="84">
        <v>1</v>
      </c>
      <c r="W30" s="79">
        <f t="shared" si="4"/>
        <v>8.3328000000000024</v>
      </c>
      <c r="X30" s="80">
        <f t="shared" si="2"/>
        <v>4.0437370600414073E-2</v>
      </c>
    </row>
    <row r="31" spans="1:24" ht="15" customHeight="1" x14ac:dyDescent="0.2">
      <c r="A31" s="65" t="s">
        <v>98</v>
      </c>
      <c r="B31" s="62">
        <f>EXP($R30)-$B$26</f>
        <v>13.161299184560592</v>
      </c>
      <c r="C31" s="62">
        <f>NORMINV(0.025,$R$26,$R$27)</f>
        <v>0.60731650293733819</v>
      </c>
      <c r="E31" s="7" t="e">
        <f>NORMINV(0.98,$E$26,$E$27)</f>
        <v>#DIV/0!</v>
      </c>
      <c r="M31" s="56">
        <v>41164</v>
      </c>
      <c r="N31" s="57">
        <v>6.5</v>
      </c>
      <c r="O31" s="58">
        <f t="shared" si="0"/>
        <v>1.8718021769015913</v>
      </c>
      <c r="Q31" s="75" t="s">
        <v>106</v>
      </c>
      <c r="R31" s="75">
        <f>NORMINV(0.98,$R$26,$R$27)</f>
        <v>2.8007341249039728</v>
      </c>
      <c r="T31" s="69">
        <v>17</v>
      </c>
      <c r="U31" s="77">
        <f t="shared" si="3"/>
        <v>9.1392000000000007</v>
      </c>
      <c r="V31" s="84">
        <v>3</v>
      </c>
      <c r="W31" s="79">
        <f t="shared" si="4"/>
        <v>8.8704000000000001</v>
      </c>
      <c r="X31" s="80">
        <f t="shared" si="2"/>
        <v>0.12131211180124223</v>
      </c>
    </row>
    <row r="32" spans="1:24" ht="15" customHeight="1" x14ac:dyDescent="0.2">
      <c r="A32" s="65" t="s">
        <v>86</v>
      </c>
      <c r="B32" s="62">
        <f>EXP($R$31)-$B$26</f>
        <v>16.456723628247154</v>
      </c>
      <c r="C32" s="62">
        <f>NORMINV(0.01,$R$26,$R$27)</f>
        <v>0.40709468821750661</v>
      </c>
      <c r="M32" s="56">
        <v>41248</v>
      </c>
      <c r="N32" s="57">
        <v>10.199999999999999</v>
      </c>
      <c r="O32" s="58">
        <f t="shared" si="0"/>
        <v>2.3223877202902252</v>
      </c>
      <c r="T32" s="69">
        <v>18</v>
      </c>
      <c r="U32" s="77">
        <f t="shared" si="3"/>
        <v>9.6768000000000018</v>
      </c>
      <c r="V32" s="84">
        <v>0</v>
      </c>
      <c r="W32" s="79">
        <f t="shared" si="4"/>
        <v>9.4080000000000013</v>
      </c>
      <c r="X32" s="80">
        <f t="shared" si="2"/>
        <v>0</v>
      </c>
    </row>
    <row r="33" spans="1:24" ht="15" customHeight="1" x14ac:dyDescent="0.2">
      <c r="M33" s="56">
        <v>41338</v>
      </c>
      <c r="N33" s="57">
        <v>7.5</v>
      </c>
      <c r="O33" s="58">
        <f t="shared" si="0"/>
        <v>2.0149030205422647</v>
      </c>
      <c r="T33" s="69">
        <v>19</v>
      </c>
      <c r="U33" s="77">
        <f t="shared" si="3"/>
        <v>10.214400000000001</v>
      </c>
      <c r="V33" s="84">
        <v>0</v>
      </c>
      <c r="W33" s="79">
        <f t="shared" si="4"/>
        <v>9.9456000000000024</v>
      </c>
      <c r="X33" s="80">
        <f t="shared" si="2"/>
        <v>0</v>
      </c>
    </row>
    <row r="34" spans="1:24" ht="15" customHeight="1" x14ac:dyDescent="0.2">
      <c r="M34" s="56">
        <v>41429</v>
      </c>
      <c r="N34" s="57">
        <v>8.4499999999999993</v>
      </c>
      <c r="O34" s="58">
        <f t="shared" si="0"/>
        <v>2.1341664413690822</v>
      </c>
      <c r="T34" s="69">
        <v>20</v>
      </c>
      <c r="U34" s="77">
        <f t="shared" si="3"/>
        <v>10.752000000000002</v>
      </c>
      <c r="V34" s="84">
        <v>3</v>
      </c>
      <c r="W34" s="79">
        <f t="shared" si="4"/>
        <v>10.483200000000002</v>
      </c>
      <c r="X34" s="80">
        <f t="shared" si="2"/>
        <v>0.12131211180124223</v>
      </c>
    </row>
    <row r="35" spans="1:24" ht="15" customHeight="1" x14ac:dyDescent="0.25">
      <c r="A35" s="140" t="s">
        <v>78</v>
      </c>
      <c r="B35" s="140"/>
      <c r="C35" s="140"/>
      <c r="M35" s="56">
        <v>41516</v>
      </c>
      <c r="N35" s="57">
        <v>4.5</v>
      </c>
      <c r="O35" s="58">
        <f t="shared" si="0"/>
        <v>1.5040773967762742</v>
      </c>
      <c r="T35" s="69">
        <v>21</v>
      </c>
      <c r="U35" s="77">
        <f t="shared" si="3"/>
        <v>11.289600000000002</v>
      </c>
      <c r="V35" s="84">
        <v>1</v>
      </c>
      <c r="W35" s="79">
        <f t="shared" si="4"/>
        <v>11.020800000000001</v>
      </c>
      <c r="X35" s="80">
        <f t="shared" si="2"/>
        <v>4.0437370600414073E-2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41617</v>
      </c>
      <c r="N36" s="57">
        <v>7.29</v>
      </c>
      <c r="O36" s="58">
        <f t="shared" si="0"/>
        <v>1.9865035460205669</v>
      </c>
      <c r="T36" s="69">
        <v>22</v>
      </c>
      <c r="U36" s="77">
        <f t="shared" si="3"/>
        <v>11.827200000000001</v>
      </c>
      <c r="V36" s="84">
        <v>0</v>
      </c>
      <c r="W36" s="79">
        <f t="shared" si="4"/>
        <v>11.558400000000002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13.440000000000001</v>
      </c>
      <c r="D37" s="8"/>
      <c r="E37" s="8"/>
      <c r="M37" s="56">
        <v>41696</v>
      </c>
      <c r="N37" s="57">
        <v>7.2</v>
      </c>
      <c r="O37" s="58">
        <f t="shared" si="0"/>
        <v>1.9740810260220096</v>
      </c>
      <c r="T37" s="69">
        <v>23</v>
      </c>
      <c r="U37" s="77">
        <f t="shared" si="3"/>
        <v>12.364800000000002</v>
      </c>
      <c r="V37" s="84">
        <v>0</v>
      </c>
      <c r="W37" s="79">
        <f t="shared" si="4"/>
        <v>12.096000000000002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0.53760000000000008</v>
      </c>
      <c r="M38" s="56">
        <v>41813</v>
      </c>
      <c r="N38" s="57">
        <v>6.66</v>
      </c>
      <c r="O38" s="58">
        <f t="shared" si="0"/>
        <v>1.8961194845522977</v>
      </c>
      <c r="T38" s="69">
        <v>24</v>
      </c>
      <c r="U38" s="77">
        <f t="shared" si="3"/>
        <v>12.902400000000002</v>
      </c>
      <c r="V38" s="84">
        <v>0</v>
      </c>
      <c r="W38" s="79">
        <f t="shared" si="4"/>
        <v>12.633600000000001</v>
      </c>
      <c r="X38" s="80">
        <f t="shared" si="2"/>
        <v>0</v>
      </c>
    </row>
    <row r="39" spans="1:24" ht="15" x14ac:dyDescent="0.2">
      <c r="M39" s="56">
        <v>41886</v>
      </c>
      <c r="N39" s="57">
        <v>6.6</v>
      </c>
      <c r="O39" s="58">
        <f t="shared" si="0"/>
        <v>1.8870696490323797</v>
      </c>
      <c r="T39" s="69">
        <v>25</v>
      </c>
      <c r="U39" s="77">
        <f t="shared" si="3"/>
        <v>13.440000000000001</v>
      </c>
      <c r="V39" s="84">
        <v>1</v>
      </c>
      <c r="W39" s="79">
        <f t="shared" si="4"/>
        <v>13.171200000000002</v>
      </c>
      <c r="X39" s="80">
        <f t="shared" si="2"/>
        <v>4.0437370600414073E-2</v>
      </c>
    </row>
    <row r="40" spans="1:24" ht="15" x14ac:dyDescent="0.2">
      <c r="M40" s="56">
        <v>41975</v>
      </c>
      <c r="N40" s="57">
        <v>10.6</v>
      </c>
      <c r="O40" s="58">
        <f t="shared" si="0"/>
        <v>2.3608540011180215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42046</v>
      </c>
      <c r="N41" s="57">
        <v>7</v>
      </c>
      <c r="O41" s="58">
        <f t="shared" si="0"/>
        <v>1.9459101490553132</v>
      </c>
    </row>
    <row r="42" spans="1:24" ht="15" x14ac:dyDescent="0.2">
      <c r="M42" s="56">
        <v>42156</v>
      </c>
      <c r="N42" s="57">
        <v>7.81</v>
      </c>
      <c r="O42" s="58">
        <f t="shared" si="0"/>
        <v>2.0554049638515948</v>
      </c>
    </row>
    <row r="43" spans="1:24" ht="15" x14ac:dyDescent="0.2">
      <c r="M43" s="56">
        <v>42254</v>
      </c>
      <c r="N43" s="57">
        <v>5.0999999999999996</v>
      </c>
      <c r="O43" s="58">
        <f t="shared" si="0"/>
        <v>1.62924053973028</v>
      </c>
    </row>
    <row r="44" spans="1:24" ht="15" x14ac:dyDescent="0.2">
      <c r="M44" s="56">
        <v>42332</v>
      </c>
      <c r="N44" s="57">
        <v>5.46</v>
      </c>
      <c r="O44" s="58">
        <f t="shared" si="0"/>
        <v>1.6974487897568136</v>
      </c>
      <c r="T44" s="83" t="s">
        <v>13</v>
      </c>
    </row>
    <row r="45" spans="1:24" ht="15" x14ac:dyDescent="0.2">
      <c r="M45" s="56">
        <v>42403</v>
      </c>
      <c r="N45" s="57">
        <v>7.2</v>
      </c>
      <c r="O45" s="58">
        <f t="shared" si="0"/>
        <v>1.9740810260220096</v>
      </c>
      <c r="T45" s="69" t="s">
        <v>26</v>
      </c>
      <c r="U45" s="69" t="s">
        <v>27</v>
      </c>
    </row>
    <row r="46" spans="1:24" ht="15" x14ac:dyDescent="0.2">
      <c r="B46" s="6"/>
      <c r="M46" s="56">
        <v>42508</v>
      </c>
      <c r="N46" s="57">
        <v>12.8</v>
      </c>
      <c r="O46" s="58">
        <f t="shared" si="0"/>
        <v>2.5494451709255714</v>
      </c>
      <c r="T46" s="85">
        <f>$U$14-$B$38/100</f>
        <v>-5.3760000000000006E-3</v>
      </c>
      <c r="U46" s="28">
        <v>0</v>
      </c>
    </row>
    <row r="47" spans="1:24" ht="15" x14ac:dyDescent="0.2">
      <c r="B47" s="9"/>
      <c r="C47" s="9"/>
      <c r="D47" s="9"/>
      <c r="E47" s="9"/>
      <c r="M47" s="56">
        <v>42579</v>
      </c>
      <c r="N47" s="57">
        <v>6.5</v>
      </c>
      <c r="O47" s="58">
        <f t="shared" si="0"/>
        <v>1.8718021769015913</v>
      </c>
      <c r="T47" s="85">
        <f>$U$14+$B$38/100</f>
        <v>5.3760000000000006E-3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42696</v>
      </c>
      <c r="N48" s="57">
        <v>7.28</v>
      </c>
      <c r="O48" s="58">
        <f t="shared" si="0"/>
        <v>1.9851308622085946</v>
      </c>
      <c r="T48" s="85">
        <f>$U$15-$B$38/100</f>
        <v>0.53222400000000003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0.54297600000000013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1.0698240000000001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1.0805760000000002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1.6074240000000002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1.6181760000000003</v>
      </c>
      <c r="U53" s="28">
        <f>$X$18</f>
        <v>0.16174948240165629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2.1450240000000003</v>
      </c>
      <c r="U54" s="28">
        <f>$X$18</f>
        <v>0.16174948240165629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2.1557760000000004</v>
      </c>
      <c r="U55" s="28">
        <f>$X$19</f>
        <v>4.0437370600414073E-2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2.6826240000000006</v>
      </c>
      <c r="U56" s="28">
        <f>$X$19</f>
        <v>4.0437370600414073E-2</v>
      </c>
    </row>
    <row r="57" spans="5:21" ht="15" x14ac:dyDescent="0.2">
      <c r="E57" s="70">
        <v>1</v>
      </c>
      <c r="F57" s="74">
        <f>$B$21</f>
        <v>11.125782952713708</v>
      </c>
      <c r="G57" s="74">
        <f>$C$21</f>
        <v>0.95595617772106944</v>
      </c>
      <c r="H57" s="74">
        <f>$B$22</f>
        <v>12.076326105231239</v>
      </c>
      <c r="I57" s="74">
        <f>$C$22</f>
        <v>5.4130252035387016E-3</v>
      </c>
      <c r="J57" s="74">
        <f>$B$31</f>
        <v>13.161299184560592</v>
      </c>
      <c r="K57" s="74">
        <f>$B$32</f>
        <v>16.456723628247154</v>
      </c>
      <c r="M57" s="56"/>
      <c r="N57" s="57"/>
      <c r="O57" s="58" t="b">
        <f t="shared" si="0"/>
        <v>0</v>
      </c>
      <c r="T57" s="85">
        <f>$U$19+$B$38/100</f>
        <v>2.6933760000000007</v>
      </c>
      <c r="U57" s="28">
        <f>$X$20</f>
        <v>0</v>
      </c>
    </row>
    <row r="58" spans="5:21" ht="15" x14ac:dyDescent="0.2">
      <c r="E58" s="70">
        <v>51501</v>
      </c>
      <c r="F58" s="74">
        <f>$B$21</f>
        <v>11.125782952713708</v>
      </c>
      <c r="G58" s="74">
        <f>$C$21</f>
        <v>0.95595617772106944</v>
      </c>
      <c r="H58" s="74">
        <f>$B$22</f>
        <v>12.076326105231239</v>
      </c>
      <c r="I58" s="74">
        <f>$C$22</f>
        <v>5.4130252035387016E-3</v>
      </c>
      <c r="J58" s="74">
        <f>$B$31</f>
        <v>13.161299184560592</v>
      </c>
      <c r="K58" s="74">
        <f>$B$32</f>
        <v>16.456723628247154</v>
      </c>
      <c r="M58" s="56"/>
      <c r="N58" s="57"/>
      <c r="O58" s="58" t="b">
        <f t="shared" si="0"/>
        <v>0</v>
      </c>
      <c r="T58" s="85">
        <f>$U$20-$B$38/100</f>
        <v>3.2202240000000004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3.2309760000000005</v>
      </c>
      <c r="U59" s="28">
        <f>$X$21</f>
        <v>8.0874741200828146E-2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3.7578240000000003</v>
      </c>
      <c r="U60" s="28">
        <f>$X$21</f>
        <v>8.0874741200828146E-2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3.7685760000000004</v>
      </c>
      <c r="U61" s="28">
        <f>$X$22</f>
        <v>0.12131211180124223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4.2954240000000006</v>
      </c>
      <c r="U62" s="28">
        <f>$X$22</f>
        <v>0.12131211180124223</v>
      </c>
    </row>
    <row r="63" spans="5:21" ht="15" x14ac:dyDescent="0.2">
      <c r="E63" s="72">
        <v>-5</v>
      </c>
      <c r="F63" s="73">
        <f>$B$16+$E63*$B$17</f>
        <v>-6.9310866227673609</v>
      </c>
      <c r="G63" s="73">
        <f>NORMDIST($F63,$B$16,$B$17,FALSE)</f>
        <v>5.7305139378722579E-7</v>
      </c>
      <c r="H63" s="73">
        <f>EXP($R$26+$E63*$R$27)</f>
        <v>0.34853896188864408</v>
      </c>
      <c r="I63" s="73">
        <f t="shared" ref="I63:I113" si="5">H63-$B$26</f>
        <v>0.34853896188864408</v>
      </c>
      <c r="J63" s="73">
        <f>1/$H63/SQRT(2*PI())/$R$27*EXP(-POWER(LN($H63)-$R$26,2)/2/POWER($R$27,2))</f>
        <v>7.8055351568841687E-6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4.3061760000000007</v>
      </c>
      <c r="U63" s="28">
        <f>$X$23</f>
        <v>8.0874741200828146E-2</v>
      </c>
    </row>
    <row r="64" spans="5:21" ht="15" x14ac:dyDescent="0.2">
      <c r="E64" s="72">
        <v>-4.8</v>
      </c>
      <c r="F64" s="73">
        <f t="shared" ref="F64:F113" si="6">$B$16+$E64*$B$17</f>
        <v>-6.4122083752479702</v>
      </c>
      <c r="G64" s="73">
        <f t="shared" ref="G64:G113" si="7">NORMDIST($F64,$B$16,$B$17,FALSE)</f>
        <v>1.5268703631227267E-6</v>
      </c>
      <c r="H64" s="73">
        <f t="shared" ref="H64:H113" si="8">EXP($R$26+$E64*$R$27)</f>
        <v>0.38879266710154053</v>
      </c>
      <c r="I64" s="73">
        <f t="shared" si="5"/>
        <v>0.38879266710154053</v>
      </c>
      <c r="J64" s="73">
        <f t="shared" ref="J64:J113" si="9">1/$H64/SQRT(2*PI())/$R$27*EXP(-POWER(LN($H64)-$R$26,2)/2/POWER($R$27,2))</f>
        <v>1.8644233978245053E-5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4.8330240000000009</v>
      </c>
      <c r="U64" s="28">
        <f>$X$23</f>
        <v>8.0874741200828146E-2</v>
      </c>
    </row>
    <row r="65" spans="5:21" ht="15" x14ac:dyDescent="0.2">
      <c r="E65" s="72">
        <v>-4.5999999999999996</v>
      </c>
      <c r="F65" s="73">
        <f t="shared" si="6"/>
        <v>-5.8933301277285794</v>
      </c>
      <c r="G65" s="73">
        <f t="shared" si="7"/>
        <v>3.9087597577918532E-6</v>
      </c>
      <c r="H65" s="73">
        <f t="shared" si="8"/>
        <v>0.43369538135086283</v>
      </c>
      <c r="I65" s="73">
        <f t="shared" si="5"/>
        <v>0.43369538135086283</v>
      </c>
      <c r="J65" s="73">
        <f t="shared" si="9"/>
        <v>4.2787274727042319E-5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4.843776000000001</v>
      </c>
      <c r="U65" s="28">
        <f>$X$24</f>
        <v>4.0437370600414073E-2</v>
      </c>
    </row>
    <row r="66" spans="5:21" ht="15" x14ac:dyDescent="0.2">
      <c r="E66" s="72">
        <v>-4.4000000000000004</v>
      </c>
      <c r="F66" s="73">
        <f t="shared" si="6"/>
        <v>-5.3744518802091923</v>
      </c>
      <c r="G66" s="73">
        <f t="shared" si="7"/>
        <v>9.6139976610298974E-6</v>
      </c>
      <c r="H66" s="73">
        <f t="shared" si="8"/>
        <v>0.48378403123520469</v>
      </c>
      <c r="I66" s="73">
        <f t="shared" si="5"/>
        <v>0.48378403123520469</v>
      </c>
      <c r="J66" s="73">
        <f t="shared" si="9"/>
        <v>9.4343704970600018E-5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5.3706240000000012</v>
      </c>
      <c r="U66" s="28">
        <f>$X$24</f>
        <v>4.0437370600414073E-2</v>
      </c>
    </row>
    <row r="67" spans="5:21" ht="15" x14ac:dyDescent="0.2">
      <c r="E67" s="72">
        <v>-4.2</v>
      </c>
      <c r="F67" s="73">
        <f t="shared" si="6"/>
        <v>-4.8555736326898016</v>
      </c>
      <c r="G67" s="73">
        <f t="shared" si="7"/>
        <v>2.2719421381925325E-5</v>
      </c>
      <c r="H67" s="73">
        <f t="shared" si="8"/>
        <v>0.53965755445488583</v>
      </c>
      <c r="I67" s="73">
        <f t="shared" si="5"/>
        <v>0.53965755445488583</v>
      </c>
      <c r="J67" s="73">
        <f t="shared" si="9"/>
        <v>1.998662435002586E-4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5.3813760000000013</v>
      </c>
      <c r="U67" s="28">
        <f>$X$25</f>
        <v>0.20218685300207037</v>
      </c>
    </row>
    <row r="68" spans="5:21" ht="15" x14ac:dyDescent="0.2">
      <c r="E68" s="72">
        <v>-4</v>
      </c>
      <c r="F68" s="73">
        <f t="shared" si="6"/>
        <v>-4.3366953851704109</v>
      </c>
      <c r="G68" s="73">
        <f t="shared" si="7"/>
        <v>5.1584442556491731E-5</v>
      </c>
      <c r="H68" s="73">
        <f t="shared" si="8"/>
        <v>0.6019840616414196</v>
      </c>
      <c r="I68" s="73">
        <f t="shared" si="5"/>
        <v>0.6019840616414196</v>
      </c>
      <c r="J68" s="73">
        <f t="shared" si="9"/>
        <v>4.0681241037118608E-4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5.9082240000000006</v>
      </c>
      <c r="U68" s="28">
        <f>$X$25</f>
        <v>0.20218685300207037</v>
      </c>
    </row>
    <row r="69" spans="5:21" ht="15" x14ac:dyDescent="0.2">
      <c r="E69" s="72">
        <v>-3.8</v>
      </c>
      <c r="F69" s="73">
        <f t="shared" si="6"/>
        <v>-3.8178171376510202</v>
      </c>
      <c r="G69" s="73">
        <f t="shared" si="7"/>
        <v>1.1253003076817186E-4</v>
      </c>
      <c r="H69" s="73">
        <f t="shared" si="8"/>
        <v>0.67150882532599676</v>
      </c>
      <c r="I69" s="73">
        <f t="shared" si="5"/>
        <v>0.67150882532599676</v>
      </c>
      <c r="J69" s="73">
        <f t="shared" si="9"/>
        <v>7.9556772692686078E-4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5.9189760000000007</v>
      </c>
      <c r="U69" s="28">
        <f>$X$26</f>
        <v>8.0874741200828146E-2</v>
      </c>
    </row>
    <row r="70" spans="5:21" ht="15" x14ac:dyDescent="0.2">
      <c r="E70" s="72">
        <v>-3.6</v>
      </c>
      <c r="F70" s="73">
        <f t="shared" si="6"/>
        <v>-3.2989388901316312</v>
      </c>
      <c r="G70" s="73">
        <f t="shared" si="7"/>
        <v>2.3585568793415483E-4</v>
      </c>
      <c r="H70" s="73">
        <f t="shared" si="8"/>
        <v>0.74906319157549284</v>
      </c>
      <c r="I70" s="73">
        <f t="shared" si="5"/>
        <v>0.74906319157549284</v>
      </c>
      <c r="J70" s="73">
        <f t="shared" si="9"/>
        <v>1.4948180794136299E-3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6.4458240000000009</v>
      </c>
      <c r="U70" s="28">
        <f>$X$26</f>
        <v>8.0874741200828146E-2</v>
      </c>
    </row>
    <row r="71" spans="5:21" ht="15" x14ac:dyDescent="0.2">
      <c r="E71" s="72">
        <v>-3.4</v>
      </c>
      <c r="F71" s="73">
        <f t="shared" si="6"/>
        <v>-2.7800606426122405</v>
      </c>
      <c r="G71" s="73">
        <f t="shared" si="7"/>
        <v>4.7495503014971659E-4</v>
      </c>
      <c r="H71" s="73">
        <f t="shared" si="8"/>
        <v>0.83557452085736772</v>
      </c>
      <c r="I71" s="73">
        <f t="shared" si="5"/>
        <v>0.83557452085736772</v>
      </c>
      <c r="J71" s="73">
        <f t="shared" si="9"/>
        <v>2.698533086643863E-3</v>
      </c>
      <c r="K71" s="73">
        <f t="shared" si="10"/>
        <v>3.369292656768808E-4</v>
      </c>
      <c r="M71" s="56"/>
      <c r="N71" s="57"/>
      <c r="O71" s="58" t="b">
        <f t="shared" si="11"/>
        <v>0</v>
      </c>
      <c r="T71" s="85">
        <f>$U$26+$B$38/100</f>
        <v>6.456576000000001</v>
      </c>
      <c r="U71" s="28">
        <f>$X$27</f>
        <v>8.0874741200828146E-2</v>
      </c>
    </row>
    <row r="72" spans="5:21" ht="15" x14ac:dyDescent="0.2">
      <c r="E72" s="72">
        <v>-3.2</v>
      </c>
      <c r="F72" s="73">
        <f t="shared" si="6"/>
        <v>-2.2611823950928516</v>
      </c>
      <c r="G72" s="73">
        <f t="shared" si="7"/>
        <v>9.1893935151935585E-4</v>
      </c>
      <c r="H72" s="73">
        <f t="shared" si="8"/>
        <v>0.93207727700187526</v>
      </c>
      <c r="I72" s="73">
        <f t="shared" si="5"/>
        <v>0.93207727700187526</v>
      </c>
      <c r="J72" s="73">
        <f t="shared" si="9"/>
        <v>4.6805336669309989E-3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6.9834240000000012</v>
      </c>
      <c r="U72" s="28">
        <f>$X$27</f>
        <v>8.0874741200828146E-2</v>
      </c>
    </row>
    <row r="73" spans="5:21" ht="15" x14ac:dyDescent="0.2">
      <c r="E73" s="72">
        <v>-3</v>
      </c>
      <c r="F73" s="73">
        <f t="shared" si="6"/>
        <v>-1.7423041475734609</v>
      </c>
      <c r="G73" s="73">
        <f t="shared" si="7"/>
        <v>1.7082421292954251E-3</v>
      </c>
      <c r="H73" s="73">
        <f t="shared" si="8"/>
        <v>1.0397253968584439</v>
      </c>
      <c r="I73" s="73">
        <f t="shared" si="5"/>
        <v>1.0397253968584439</v>
      </c>
      <c r="J73" s="73">
        <f t="shared" si="9"/>
        <v>7.7999392524852051E-3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6.9941760000000013</v>
      </c>
      <c r="U73" s="28">
        <f>$X$28</f>
        <v>0.24262422360248445</v>
      </c>
    </row>
    <row r="74" spans="5:21" ht="15" x14ac:dyDescent="0.2">
      <c r="E74" s="72">
        <v>-2.8</v>
      </c>
      <c r="F74" s="73">
        <f t="shared" si="6"/>
        <v>-1.2234259000540701</v>
      </c>
      <c r="G74" s="73">
        <f t="shared" si="7"/>
        <v>3.0509860919479669E-3</v>
      </c>
      <c r="H74" s="73">
        <f t="shared" si="8"/>
        <v>1.1598060885570476</v>
      </c>
      <c r="I74" s="73">
        <f t="shared" si="5"/>
        <v>1.1598060885570476</v>
      </c>
      <c r="J74" s="73">
        <f t="shared" si="9"/>
        <v>1.2488644060325313E-2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7.5210240000000006</v>
      </c>
      <c r="U74" s="28">
        <f>$X$28</f>
        <v>0.24262422360248445</v>
      </c>
    </row>
    <row r="75" spans="5:21" ht="15" x14ac:dyDescent="0.2">
      <c r="E75" s="72">
        <v>-2.6</v>
      </c>
      <c r="F75" s="73">
        <f t="shared" si="6"/>
        <v>-0.70454765253468121</v>
      </c>
      <c r="G75" s="73">
        <f t="shared" si="7"/>
        <v>5.2355130702132708E-3</v>
      </c>
      <c r="H75" s="73">
        <f t="shared" si="8"/>
        <v>1.2937552233680183</v>
      </c>
      <c r="I75" s="73">
        <f t="shared" si="5"/>
        <v>1.2937552233680183</v>
      </c>
      <c r="J75" s="73">
        <f t="shared" si="9"/>
        <v>1.9211778738905318E-2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7.5317760000000007</v>
      </c>
      <c r="U75" s="28">
        <f>$X$29</f>
        <v>0.36393633540372666</v>
      </c>
    </row>
    <row r="76" spans="5:21" ht="15" x14ac:dyDescent="0.2">
      <c r="E76" s="72">
        <v>-2.4</v>
      </c>
      <c r="F76" s="73">
        <f t="shared" si="6"/>
        <v>-0.1856694050152905</v>
      </c>
      <c r="G76" s="73">
        <f t="shared" si="7"/>
        <v>8.631901761889155E-3</v>
      </c>
      <c r="H76" s="73">
        <f t="shared" si="8"/>
        <v>1.4431745052092837</v>
      </c>
      <c r="I76" s="73">
        <f t="shared" si="5"/>
        <v>1.4431745052092837</v>
      </c>
      <c r="J76" s="73">
        <f t="shared" si="9"/>
        <v>2.8395406173158215E-2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8.0586240000000018</v>
      </c>
      <c r="U76" s="28">
        <f>$X$29</f>
        <v>0.36393633540372666</v>
      </c>
    </row>
    <row r="77" spans="5:21" ht="15" x14ac:dyDescent="0.2">
      <c r="E77" s="72">
        <v>-2.2000000000000002</v>
      </c>
      <c r="F77" s="73">
        <f t="shared" si="6"/>
        <v>0.33320884250409843</v>
      </c>
      <c r="G77" s="73">
        <f t="shared" si="7"/>
        <v>1.3673571022036637E-2</v>
      </c>
      <c r="H77" s="73">
        <f t="shared" si="8"/>
        <v>1.6098506231063194</v>
      </c>
      <c r="I77" s="73">
        <f t="shared" si="5"/>
        <v>1.6098506231063194</v>
      </c>
      <c r="J77" s="73">
        <f t="shared" si="9"/>
        <v>4.0323369463536082E-2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8.0693760000000019</v>
      </c>
      <c r="U77" s="28">
        <f>$X$30</f>
        <v>4.0437370600414073E-2</v>
      </c>
    </row>
    <row r="78" spans="5:21" ht="15" x14ac:dyDescent="0.2">
      <c r="E78" s="72">
        <v>-2</v>
      </c>
      <c r="F78" s="73">
        <f t="shared" si="6"/>
        <v>0.85208709002348915</v>
      </c>
      <c r="G78" s="73">
        <f t="shared" si="7"/>
        <v>2.0810649423560763E-2</v>
      </c>
      <c r="H78" s="73">
        <f t="shared" si="8"/>
        <v>1.7957766156213932</v>
      </c>
      <c r="I78" s="73">
        <f t="shared" si="5"/>
        <v>1.7957766156213932</v>
      </c>
      <c r="J78" s="73">
        <f t="shared" si="9"/>
        <v>5.5016602263246395E-2</v>
      </c>
      <c r="K78" s="73">
        <f t="shared" si="10"/>
        <v>2.2750131948179191E-2</v>
      </c>
      <c r="L78" s="16"/>
      <c r="M78" s="56"/>
      <c r="N78" s="57"/>
      <c r="O78" s="58" t="b">
        <f t="shared" si="11"/>
        <v>0</v>
      </c>
      <c r="T78" s="85">
        <f>$U$30-$B$38/100</f>
        <v>8.5962240000000012</v>
      </c>
      <c r="U78" s="28">
        <f>$X$30</f>
        <v>4.0437370600414073E-2</v>
      </c>
    </row>
    <row r="79" spans="5:21" ht="15" x14ac:dyDescent="0.2">
      <c r="E79" s="72">
        <v>-1.8</v>
      </c>
      <c r="F79" s="73">
        <f t="shared" si="6"/>
        <v>1.370965337542879</v>
      </c>
      <c r="G79" s="73">
        <f t="shared" si="7"/>
        <v>3.0431091948191123E-2</v>
      </c>
      <c r="H79" s="73">
        <f t="shared" si="8"/>
        <v>2.0031757027183805</v>
      </c>
      <c r="I79" s="73">
        <f t="shared" si="5"/>
        <v>2.0031757027183805</v>
      </c>
      <c r="J79" s="73">
        <f t="shared" si="9"/>
        <v>7.2120534510494161E-2</v>
      </c>
      <c r="K79" s="73">
        <f t="shared" si="10"/>
        <v>3.5930319112925754E-2</v>
      </c>
      <c r="L79" s="16"/>
      <c r="M79" s="56"/>
      <c r="N79" s="57"/>
      <c r="O79" s="58" t="b">
        <f t="shared" si="11"/>
        <v>0</v>
      </c>
      <c r="T79" s="85">
        <f>$U$30+$B$38/100</f>
        <v>8.6069760000000013</v>
      </c>
      <c r="U79" s="28">
        <f>$X$31</f>
        <v>0.12131211180124223</v>
      </c>
    </row>
    <row r="80" spans="5:21" ht="15" x14ac:dyDescent="0.2">
      <c r="E80" s="72">
        <v>-1.6</v>
      </c>
      <c r="F80" s="73">
        <f t="shared" si="6"/>
        <v>1.8898435850622688</v>
      </c>
      <c r="G80" s="73">
        <f t="shared" si="7"/>
        <v>4.2754089310830294E-2</v>
      </c>
      <c r="H80" s="73">
        <f t="shared" si="8"/>
        <v>2.2345278700339675</v>
      </c>
      <c r="I80" s="73">
        <f t="shared" si="5"/>
        <v>2.2345278700339675</v>
      </c>
      <c r="J80" s="73">
        <f t="shared" si="9"/>
        <v>9.0834813472315715E-2</v>
      </c>
      <c r="K80" s="73">
        <f t="shared" si="10"/>
        <v>5.4799291699558009E-2</v>
      </c>
      <c r="L80" s="16"/>
      <c r="M80" s="56"/>
      <c r="N80" s="57"/>
      <c r="O80" s="58" t="b">
        <f t="shared" si="11"/>
        <v>0</v>
      </c>
      <c r="T80" s="85">
        <f>$U$31-$B$38/100</f>
        <v>9.1338240000000006</v>
      </c>
      <c r="U80" s="28">
        <f>$X$31</f>
        <v>0.12131211180124223</v>
      </c>
    </row>
    <row r="81" spans="5:21" ht="15" x14ac:dyDescent="0.2">
      <c r="E81" s="72">
        <v>-1.4</v>
      </c>
      <c r="F81" s="73">
        <f t="shared" si="6"/>
        <v>2.4087218325816595</v>
      </c>
      <c r="G81" s="73">
        <f t="shared" si="7"/>
        <v>5.7711984016115339E-2</v>
      </c>
      <c r="H81" s="73">
        <f t="shared" si="8"/>
        <v>2.4925995234380611</v>
      </c>
      <c r="I81" s="73">
        <f t="shared" si="5"/>
        <v>2.4925995234380611</v>
      </c>
      <c r="J81" s="73">
        <f t="shared" si="9"/>
        <v>0.10991929680386235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9.1445760000000007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2.9276000801010493</v>
      </c>
      <c r="G82" s="73">
        <f t="shared" si="7"/>
        <v>7.4848408431674104E-2</v>
      </c>
      <c r="H82" s="73">
        <f t="shared" si="8"/>
        <v>2.780476568479409</v>
      </c>
      <c r="I82" s="73">
        <f t="shared" si="5"/>
        <v>2.780476568479409</v>
      </c>
      <c r="J82" s="73">
        <f t="shared" si="9"/>
        <v>0.12779791685955605</v>
      </c>
      <c r="K82" s="73">
        <f t="shared" si="10"/>
        <v>0.11506967022170821</v>
      </c>
      <c r="L82" s="14"/>
      <c r="M82" s="56"/>
      <c r="N82" s="57"/>
      <c r="O82" s="58" t="b">
        <f t="shared" si="11"/>
        <v>0</v>
      </c>
      <c r="T82" s="85">
        <f>$U$32-$B$38/100</f>
        <v>9.6714240000000018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3.4464783276204392</v>
      </c>
      <c r="G83" s="73">
        <f t="shared" si="7"/>
        <v>9.3266860068209403E-2</v>
      </c>
      <c r="H83" s="73">
        <f t="shared" si="8"/>
        <v>3.1016013102656523</v>
      </c>
      <c r="I83" s="73">
        <f t="shared" si="5"/>
        <v>3.1016013102656523</v>
      </c>
      <c r="J83" s="73">
        <f t="shared" si="9"/>
        <v>0.14275845161680081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9.6821760000000019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3.965356575139829</v>
      </c>
      <c r="G84" s="73">
        <f t="shared" si="7"/>
        <v>0.1116607042775125</v>
      </c>
      <c r="H84" s="73">
        <f t="shared" si="8"/>
        <v>3.4598136150100962</v>
      </c>
      <c r="I84" s="73">
        <f t="shared" si="5"/>
        <v>3.4598136150100962</v>
      </c>
      <c r="J84" s="73">
        <f t="shared" si="9"/>
        <v>0.15321740541211862</v>
      </c>
      <c r="K84" s="73">
        <f t="shared" si="10"/>
        <v>0.21185539858339658</v>
      </c>
      <c r="M84" s="56"/>
      <c r="N84" s="57"/>
      <c r="O84" s="58" t="b">
        <f t="shared" si="11"/>
        <v>0</v>
      </c>
      <c r="T84" s="85">
        <f>$U$33-$B$38/100</f>
        <v>10.209024000000001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4.4842348226592197</v>
      </c>
      <c r="G85" s="73">
        <f t="shared" si="7"/>
        <v>0.12844038249236778</v>
      </c>
      <c r="H85" s="73">
        <f t="shared" si="8"/>
        <v>3.8593968254365918</v>
      </c>
      <c r="I85" s="73">
        <f t="shared" si="5"/>
        <v>3.8593968254365918</v>
      </c>
      <c r="J85" s="73">
        <f t="shared" si="9"/>
        <v>0.15799472934617639</v>
      </c>
      <c r="K85" s="73">
        <f t="shared" si="10"/>
        <v>0.27425311775007361</v>
      </c>
      <c r="M85" s="56"/>
      <c r="N85" s="57"/>
      <c r="O85" s="58" t="b">
        <f t="shared" si="11"/>
        <v>0</v>
      </c>
      <c r="T85" s="85">
        <f>$U$33+$B$38/100</f>
        <v>10.219776000000001</v>
      </c>
      <c r="U85" s="28">
        <f>$X$34</f>
        <v>0.12131211180124223</v>
      </c>
    </row>
    <row r="86" spans="5:21" ht="15" x14ac:dyDescent="0.2">
      <c r="E86" s="72">
        <v>-0.4</v>
      </c>
      <c r="F86" s="73">
        <f t="shared" si="6"/>
        <v>5.0031130701786086</v>
      </c>
      <c r="G86" s="73">
        <f t="shared" si="7"/>
        <v>0.14194857543707742</v>
      </c>
      <c r="H86" s="73">
        <f t="shared" si="8"/>
        <v>4.3051289790784217</v>
      </c>
      <c r="I86" s="73">
        <f t="shared" si="5"/>
        <v>4.3051289790784217</v>
      </c>
      <c r="J86" s="73">
        <f t="shared" si="9"/>
        <v>0.15653278621187464</v>
      </c>
      <c r="K86" s="73">
        <f t="shared" si="10"/>
        <v>0.34457825838967582</v>
      </c>
      <c r="M86" s="56"/>
      <c r="N86" s="57"/>
      <c r="O86" s="58" t="b">
        <f t="shared" si="11"/>
        <v>0</v>
      </c>
      <c r="T86" s="85">
        <f>$U$34-$B$38/100</f>
        <v>10.746624000000002</v>
      </c>
      <c r="U86" s="28">
        <f>$X$34</f>
        <v>0.12131211180124223</v>
      </c>
    </row>
    <row r="87" spans="5:21" ht="15" x14ac:dyDescent="0.2">
      <c r="E87" s="72">
        <v>-0.2</v>
      </c>
      <c r="F87" s="73">
        <f t="shared" si="6"/>
        <v>5.5219913176979993</v>
      </c>
      <c r="G87" s="73">
        <f t="shared" si="7"/>
        <v>0.15072618512913977</v>
      </c>
      <c r="H87" s="73">
        <f t="shared" si="8"/>
        <v>4.8023399419167401</v>
      </c>
      <c r="I87" s="73">
        <f t="shared" si="5"/>
        <v>4.8023399419167401</v>
      </c>
      <c r="J87" s="73">
        <f t="shared" si="9"/>
        <v>0.14900342545300424</v>
      </c>
      <c r="K87" s="73">
        <f t="shared" si="10"/>
        <v>0.42074029056089696</v>
      </c>
      <c r="M87" s="56"/>
      <c r="N87" s="57"/>
      <c r="O87" s="58" t="b">
        <f t="shared" si="11"/>
        <v>0</v>
      </c>
      <c r="T87" s="85">
        <f>$U$34+$B$38/100</f>
        <v>10.757376000000002</v>
      </c>
      <c r="U87" s="28">
        <f>$X$35</f>
        <v>4.0437370600414073E-2</v>
      </c>
    </row>
    <row r="88" spans="5:21" ht="15" x14ac:dyDescent="0.2">
      <c r="E88" s="72">
        <v>0</v>
      </c>
      <c r="F88" s="73">
        <f t="shared" si="6"/>
        <v>6.0408695652173892</v>
      </c>
      <c r="G88" s="73">
        <f t="shared" si="7"/>
        <v>0.15377105604586927</v>
      </c>
      <c r="H88" s="73">
        <f t="shared" si="8"/>
        <v>5.3569751405370791</v>
      </c>
      <c r="I88" s="73">
        <f t="shared" si="5"/>
        <v>5.3569751405370791</v>
      </c>
      <c r="J88" s="73">
        <f t="shared" si="9"/>
        <v>0.13627475512040205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11.284224000000002</v>
      </c>
      <c r="U88" s="28">
        <f>$X$35</f>
        <v>4.0437370600414073E-2</v>
      </c>
    </row>
    <row r="89" spans="5:21" ht="15" x14ac:dyDescent="0.2">
      <c r="E89" s="72">
        <v>0.2</v>
      </c>
      <c r="F89" s="73">
        <f t="shared" si="6"/>
        <v>6.559747812736779</v>
      </c>
      <c r="G89" s="73">
        <f t="shared" si="7"/>
        <v>0.15072618512913977</v>
      </c>
      <c r="H89" s="73">
        <f t="shared" si="8"/>
        <v>5.9756666548845887</v>
      </c>
      <c r="I89" s="73">
        <f t="shared" si="5"/>
        <v>5.9756666548845887</v>
      </c>
      <c r="J89" s="73">
        <f t="shared" si="9"/>
        <v>0.11974648902988308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11.294976000000002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7.0786260602561697</v>
      </c>
      <c r="G90" s="73">
        <f t="shared" si="7"/>
        <v>0.14194857543707742</v>
      </c>
      <c r="H90" s="73">
        <f t="shared" si="8"/>
        <v>6.6658125217134208</v>
      </c>
      <c r="I90" s="73">
        <f t="shared" si="5"/>
        <v>6.6658125217134208</v>
      </c>
      <c r="J90" s="73">
        <f t="shared" si="9"/>
        <v>0.1010970278419122</v>
      </c>
      <c r="K90" s="73">
        <f t="shared" si="10"/>
        <v>0.65542174161032418</v>
      </c>
      <c r="M90" s="56"/>
      <c r="N90" s="57"/>
      <c r="O90" s="58" t="b">
        <f t="shared" si="11"/>
        <v>0</v>
      </c>
      <c r="T90" s="85">
        <f>$U$36-$B$38/100</f>
        <v>11.821824000000001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7.5975043077755586</v>
      </c>
      <c r="G91" s="73">
        <f t="shared" si="7"/>
        <v>0.12844038249236778</v>
      </c>
      <c r="H91" s="73">
        <f t="shared" si="8"/>
        <v>7.4356651970054708</v>
      </c>
      <c r="I91" s="73">
        <f t="shared" si="5"/>
        <v>7.4356651970054708</v>
      </c>
      <c r="J91" s="73">
        <f t="shared" si="9"/>
        <v>8.2005354022652063E-2</v>
      </c>
      <c r="K91" s="73">
        <f t="shared" si="10"/>
        <v>0.72574688224992656</v>
      </c>
      <c r="M91" s="56"/>
      <c r="N91" s="57"/>
      <c r="O91" s="58" t="b">
        <f t="shared" si="11"/>
        <v>0</v>
      </c>
      <c r="T91" s="85">
        <f>$U$36+$B$38/100</f>
        <v>11.832576000000001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8.116382555294976</v>
      </c>
      <c r="G92" s="73">
        <f t="shared" si="7"/>
        <v>0.1116607042775116</v>
      </c>
      <c r="H92" s="73">
        <f t="shared" si="8"/>
        <v>8.2944302351526158</v>
      </c>
      <c r="I92" s="73">
        <f t="shared" si="5"/>
        <v>8.2944302351526158</v>
      </c>
      <c r="J92" s="73">
        <f t="shared" si="9"/>
        <v>6.391079920773024E-2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12.359424000000002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8.6352608028143649</v>
      </c>
      <c r="G93" s="73">
        <f t="shared" si="7"/>
        <v>9.3266860068208474E-2</v>
      </c>
      <c r="H93" s="73">
        <f t="shared" si="8"/>
        <v>9.2523763648637658</v>
      </c>
      <c r="I93" s="73">
        <f t="shared" si="5"/>
        <v>9.2523763648637658</v>
      </c>
      <c r="J93" s="73">
        <f t="shared" si="9"/>
        <v>4.7855792190602313E-2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12.370176000000003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9.1541390503337556</v>
      </c>
      <c r="G94" s="73">
        <f t="shared" si="7"/>
        <v>7.4848408431673188E-2</v>
      </c>
      <c r="H94" s="73">
        <f t="shared" si="8"/>
        <v>10.320958278035899</v>
      </c>
      <c r="I94" s="73">
        <f t="shared" si="5"/>
        <v>10.320958278035899</v>
      </c>
      <c r="J94" s="73">
        <f t="shared" si="9"/>
        <v>3.4428887682326041E-2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12.897024000000002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9.6730172978531446</v>
      </c>
      <c r="G95" s="73">
        <f t="shared" si="7"/>
        <v>5.7711984016114555E-2</v>
      </c>
      <c r="H95" s="73">
        <f t="shared" si="8"/>
        <v>11.512953599842696</v>
      </c>
      <c r="I95" s="73">
        <f t="shared" si="5"/>
        <v>11.512953599842696</v>
      </c>
      <c r="J95" s="73">
        <f t="shared" si="9"/>
        <v>2.379795805254472E-2</v>
      </c>
      <c r="K95" s="73">
        <f t="shared" si="10"/>
        <v>0.91924334076623049</v>
      </c>
      <c r="M95" s="56"/>
      <c r="N95" s="57"/>
      <c r="O95" s="58" t="b">
        <f t="shared" si="11"/>
        <v>0</v>
      </c>
      <c r="T95" s="85">
        <f>$U$38+$B$38/100</f>
        <v>12.907776000000002</v>
      </c>
      <c r="U95" s="28">
        <f>$X$39</f>
        <v>4.0437370600414073E-2</v>
      </c>
    </row>
    <row r="96" spans="5:21" ht="15" x14ac:dyDescent="0.2">
      <c r="E96" s="72">
        <v>1.6000000000000101</v>
      </c>
      <c r="F96" s="73">
        <f t="shared" si="6"/>
        <v>10.191895545372535</v>
      </c>
      <c r="G96" s="73">
        <f t="shared" si="7"/>
        <v>4.2754089310829614E-2</v>
      </c>
      <c r="H96" s="73">
        <f t="shared" si="8"/>
        <v>12.842615677868533</v>
      </c>
      <c r="I96" s="73">
        <f t="shared" si="5"/>
        <v>12.842615677868533</v>
      </c>
      <c r="J96" s="73">
        <f t="shared" si="9"/>
        <v>1.5804640375792215E-2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13.434624000000001</v>
      </c>
      <c r="U96" s="28">
        <f>$X$39</f>
        <v>4.0437370600414073E-2</v>
      </c>
    </row>
    <row r="97" spans="5:21" ht="15" x14ac:dyDescent="0.2">
      <c r="E97" s="72">
        <v>1.80000000000001</v>
      </c>
      <c r="F97" s="73">
        <f t="shared" si="6"/>
        <v>10.710773792891924</v>
      </c>
      <c r="G97" s="73">
        <f t="shared" si="7"/>
        <v>3.0431091948190603E-2</v>
      </c>
      <c r="H97" s="73">
        <f t="shared" si="8"/>
        <v>14.32584401727183</v>
      </c>
      <c r="I97" s="73">
        <f t="shared" si="5"/>
        <v>14.32584401727183</v>
      </c>
      <c r="J97" s="73">
        <f t="shared" si="9"/>
        <v>1.0084578767177887E-2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13.445376000000001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11.229652040411317</v>
      </c>
      <c r="G98" s="73">
        <f t="shared" si="7"/>
        <v>2.0810649423560316E-2</v>
      </c>
      <c r="H98" s="73">
        <f t="shared" si="8"/>
        <v>15.980374399965283</v>
      </c>
      <c r="I98" s="73">
        <f t="shared" si="5"/>
        <v>15.980374399965283</v>
      </c>
      <c r="J98" s="73">
        <f t="shared" si="9"/>
        <v>6.1824288557027528E-3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11.748530287930706</v>
      </c>
      <c r="G99" s="73">
        <f t="shared" si="7"/>
        <v>1.3673571022036327E-2</v>
      </c>
      <c r="H99" s="73">
        <f t="shared" si="8"/>
        <v>17.825990961173268</v>
      </c>
      <c r="I99" s="73">
        <f t="shared" si="5"/>
        <v>17.825990961173268</v>
      </c>
      <c r="J99" s="73">
        <f t="shared" si="9"/>
        <v>3.6415704236588478E-3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12.267408535450095</v>
      </c>
      <c r="G100" s="73">
        <f t="shared" si="7"/>
        <v>8.6319017618889538E-3</v>
      </c>
      <c r="H100" s="73">
        <f t="shared" si="8"/>
        <v>19.88476275928312</v>
      </c>
      <c r="I100" s="73">
        <f t="shared" si="5"/>
        <v>19.88476275928312</v>
      </c>
      <c r="J100" s="73">
        <f t="shared" si="9"/>
        <v>2.0608506498289584E-3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12.786286782969484</v>
      </c>
      <c r="G101" s="73">
        <f t="shared" si="7"/>
        <v>5.235513070213145E-3</v>
      </c>
      <c r="H101" s="73">
        <f t="shared" si="8"/>
        <v>22.181307667786918</v>
      </c>
      <c r="I101" s="73">
        <f t="shared" si="5"/>
        <v>22.181307667786918</v>
      </c>
      <c r="J101" s="73">
        <f t="shared" si="9"/>
        <v>1.1205533716005965E-3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13.305165030488876</v>
      </c>
      <c r="G102" s="73">
        <f t="shared" si="7"/>
        <v>3.0509860919478759E-3</v>
      </c>
      <c r="H102" s="73">
        <f t="shared" si="8"/>
        <v>24.743086744815685</v>
      </c>
      <c r="I102" s="73">
        <f t="shared" si="5"/>
        <v>24.743086744815685</v>
      </c>
      <c r="J102" s="73">
        <f t="shared" si="9"/>
        <v>5.8539201548980443E-4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13.824043278008265</v>
      </c>
      <c r="G103" s="73">
        <f t="shared" si="7"/>
        <v>1.7082421292953752E-3</v>
      </c>
      <c r="H103" s="73">
        <f t="shared" si="8"/>
        <v>27.600732600205468</v>
      </c>
      <c r="I103" s="73">
        <f t="shared" si="5"/>
        <v>27.600732600205468</v>
      </c>
      <c r="J103" s="73">
        <f t="shared" si="9"/>
        <v>2.9382535066121095E-4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14.342921525527654</v>
      </c>
      <c r="G104" s="73">
        <f t="shared" si="7"/>
        <v>9.1893935151932734E-4</v>
      </c>
      <c r="H104" s="73">
        <f t="shared" si="8"/>
        <v>30.788415686561862</v>
      </c>
      <c r="I104" s="73">
        <f t="shared" si="5"/>
        <v>30.788415686561862</v>
      </c>
      <c r="J104" s="73">
        <f t="shared" si="9"/>
        <v>1.4169677061663999E-4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14.861799773047046</v>
      </c>
      <c r="G105" s="73">
        <f t="shared" si="7"/>
        <v>4.7495503014969843E-4</v>
      </c>
      <c r="H105" s="73">
        <f t="shared" si="8"/>
        <v>34.344252894268209</v>
      </c>
      <c r="I105" s="73">
        <f t="shared" si="5"/>
        <v>34.344252894268209</v>
      </c>
      <c r="J105" s="73">
        <f t="shared" si="9"/>
        <v>6.565364801592269E-5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15.380678020566435</v>
      </c>
      <c r="G106" s="73">
        <f t="shared" si="7"/>
        <v>2.3585568793414621E-4</v>
      </c>
      <c r="H106" s="73">
        <f t="shared" si="8"/>
        <v>38.31076333623345</v>
      </c>
      <c r="I106" s="73">
        <f t="shared" si="5"/>
        <v>38.31076333623345</v>
      </c>
      <c r="J106" s="73">
        <f t="shared" si="9"/>
        <v>2.9227118018065833E-5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15.899556268085824</v>
      </c>
      <c r="G107" s="73">
        <f t="shared" si="7"/>
        <v>1.1253003076816758E-4</v>
      </c>
      <c r="H107" s="73">
        <f t="shared" si="8"/>
        <v>42.73537677245092</v>
      </c>
      <c r="I107" s="73">
        <f t="shared" si="5"/>
        <v>42.73537677245092</v>
      </c>
      <c r="J107" s="73">
        <f t="shared" si="9"/>
        <v>1.2500901831765282E-5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16.418434515605213</v>
      </c>
      <c r="G108" s="73">
        <f t="shared" si="7"/>
        <v>5.1584442556489718E-5</v>
      </c>
      <c r="H108" s="73">
        <f t="shared" si="8"/>
        <v>47.671000753880904</v>
      </c>
      <c r="I108" s="73">
        <f t="shared" si="5"/>
        <v>47.671000753880904</v>
      </c>
      <c r="J108" s="73">
        <f t="shared" si="9"/>
        <v>5.1371815831123915E-6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16.937312763124606</v>
      </c>
      <c r="G109" s="73">
        <f t="shared" si="7"/>
        <v>2.2719421381924315E-5</v>
      </c>
      <c r="H109" s="73">
        <f t="shared" si="8"/>
        <v>53.176653267310883</v>
      </c>
      <c r="I109" s="73">
        <f t="shared" si="5"/>
        <v>53.176653267310883</v>
      </c>
      <c r="J109" s="73">
        <f t="shared" si="9"/>
        <v>2.0283211063178032E-6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17.456191010643995</v>
      </c>
      <c r="G110" s="73">
        <f t="shared" si="7"/>
        <v>9.6139976610294857E-6</v>
      </c>
      <c r="H110" s="73">
        <f t="shared" si="8"/>
        <v>59.318168446077763</v>
      </c>
      <c r="I110" s="73">
        <f t="shared" si="5"/>
        <v>59.318168446077763</v>
      </c>
      <c r="J110" s="73">
        <f t="shared" si="9"/>
        <v>7.6944347925762015E-7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17.975069258163387</v>
      </c>
      <c r="G111" s="73">
        <f t="shared" si="7"/>
        <v>3.9087597577916448E-6</v>
      </c>
      <c r="H111" s="73">
        <f t="shared" si="8"/>
        <v>66.168983785225493</v>
      </c>
      <c r="I111" s="73">
        <f t="shared" si="5"/>
        <v>66.168983785225493</v>
      </c>
      <c r="J111" s="73">
        <f t="shared" si="9"/>
        <v>2.8044322835514429E-7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18.493947505682772</v>
      </c>
      <c r="G112" s="73">
        <f t="shared" si="7"/>
        <v>1.5268703631226562E-6</v>
      </c>
      <c r="H112" s="73">
        <f t="shared" si="8"/>
        <v>73.811018274265948</v>
      </c>
      <c r="I112" s="73">
        <f t="shared" si="5"/>
        <v>73.811018274265948</v>
      </c>
      <c r="J112" s="73">
        <f t="shared" si="9"/>
        <v>9.8206766739512781E-8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19.01282575320214</v>
      </c>
      <c r="G113" s="73">
        <f t="shared" si="7"/>
        <v>5.7305139378722367E-7</v>
      </c>
      <c r="H113" s="73">
        <f t="shared" si="8"/>
        <v>82.33565194786118</v>
      </c>
      <c r="I113" s="73">
        <f t="shared" si="5"/>
        <v>82.33565194786118</v>
      </c>
      <c r="J113" s="73">
        <f t="shared" si="9"/>
        <v>3.3041981890038434E-8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0.75629998071514737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-40.440470879610992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1.1533433199318319E-3</v>
      </c>
      <c r="H120" s="69" t="s">
        <v>50</v>
      </c>
      <c r="I120" s="79">
        <f>IF($B$9&gt;3,INDEX(XX!$C$4:$C$150,$B$9))</f>
        <v>0.28160000000000002</v>
      </c>
      <c r="J120" s="79">
        <f>IF($B$9&gt;3,INDEX(XX!$D$4:$D$150,$B$9))</f>
        <v>0.36459999999999998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1.4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-40.438856198963087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42696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8.8026755081985044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ignoredErrors>
    <ignoredError sqref="B3:C4" unlockedFormula="1"/>
  </ignoredError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59" sqref="M59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121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36769</v>
      </c>
      <c r="N3" s="57">
        <v>28</v>
      </c>
      <c r="O3" s="58">
        <f t="shared" ref="O3:O66" si="0">IF($N3&gt;0,LN($N3+$B$26))</f>
        <v>3.3322045101752038</v>
      </c>
      <c r="T3" s="69" t="s">
        <v>109</v>
      </c>
      <c r="U3" s="82">
        <f>$B$21</f>
        <v>22.249189493314802</v>
      </c>
      <c r="V3" s="82">
        <f t="shared" ref="V3:V10" si="1">U3</f>
        <v>22.249189493314802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36895</v>
      </c>
      <c r="N4" s="57">
        <v>19</v>
      </c>
      <c r="O4" s="58">
        <f t="shared" si="0"/>
        <v>2.9444389791664403</v>
      </c>
      <c r="T4" s="69" t="s">
        <v>111</v>
      </c>
      <c r="U4" s="82">
        <f>$B$31</f>
        <v>21.264570817632411</v>
      </c>
      <c r="V4" s="82">
        <f t="shared" si="1"/>
        <v>21.264570817632411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37333</v>
      </c>
      <c r="N5" s="57">
        <v>12.2</v>
      </c>
      <c r="O5" s="58">
        <f t="shared" si="0"/>
        <v>2.5014359517392109</v>
      </c>
      <c r="T5" s="69" t="s">
        <v>110</v>
      </c>
      <c r="U5" s="82">
        <f>$B$22</f>
        <v>23.463702544178659</v>
      </c>
      <c r="V5" s="82">
        <f t="shared" si="1"/>
        <v>23.463702544178659</v>
      </c>
    </row>
    <row r="6" spans="1:24" ht="15" customHeight="1" x14ac:dyDescent="0.2">
      <c r="A6" s="107" t="s">
        <v>18</v>
      </c>
      <c r="B6" s="20" t="s">
        <v>93</v>
      </c>
      <c r="C6" s="18"/>
      <c r="M6" s="56">
        <v>37540</v>
      </c>
      <c r="N6" s="57">
        <v>19.3</v>
      </c>
      <c r="O6" s="58">
        <f t="shared" si="0"/>
        <v>2.9601050959108397</v>
      </c>
      <c r="T6" s="69" t="s">
        <v>29</v>
      </c>
      <c r="U6" s="82">
        <f>$B$32</f>
        <v>23.021542035867611</v>
      </c>
      <c r="V6" s="82">
        <f t="shared" si="1"/>
        <v>23.021542035867611</v>
      </c>
    </row>
    <row r="7" spans="1:24" ht="15" customHeight="1" x14ac:dyDescent="0.2">
      <c r="D7" s="4"/>
      <c r="F7" s="5"/>
      <c r="M7" s="56">
        <v>37677</v>
      </c>
      <c r="N7" s="57">
        <v>17.399999999999999</v>
      </c>
      <c r="O7" s="58">
        <f t="shared" si="0"/>
        <v>2.8564702062204832</v>
      </c>
      <c r="T7" s="69" t="s">
        <v>31</v>
      </c>
      <c r="U7" s="82">
        <f>$C$21</f>
        <v>9.255158332772158</v>
      </c>
      <c r="V7" s="82">
        <f t="shared" si="1"/>
        <v>9.255158332772158</v>
      </c>
    </row>
    <row r="8" spans="1:24" ht="15" customHeight="1" x14ac:dyDescent="0.25">
      <c r="A8" s="140" t="s">
        <v>12</v>
      </c>
      <c r="B8" s="140"/>
      <c r="C8" s="140"/>
      <c r="D8" s="4"/>
      <c r="M8" s="56">
        <v>37852</v>
      </c>
      <c r="N8" s="57">
        <v>24.6</v>
      </c>
      <c r="O8" s="58">
        <f t="shared" si="0"/>
        <v>3.202746442938317</v>
      </c>
      <c r="T8" s="69" t="s">
        <v>32</v>
      </c>
      <c r="U8" s="82">
        <f>$C$31</f>
        <v>2.3571579915951073</v>
      </c>
      <c r="V8" s="82">
        <f t="shared" si="1"/>
        <v>2.3571579915951073</v>
      </c>
    </row>
    <row r="9" spans="1:24" ht="15" customHeight="1" x14ac:dyDescent="0.2">
      <c r="A9" s="101" t="s">
        <v>11</v>
      </c>
      <c r="B9" s="59">
        <f>COUNT($M$3:$M252)</f>
        <v>46</v>
      </c>
      <c r="C9" s="60"/>
      <c r="D9" s="4"/>
      <c r="M9" s="56">
        <v>38055</v>
      </c>
      <c r="N9" s="57">
        <v>17.7</v>
      </c>
      <c r="O9" s="58">
        <f t="shared" si="0"/>
        <v>2.8735646395797834</v>
      </c>
      <c r="T9" s="69" t="s">
        <v>112</v>
      </c>
      <c r="U9" s="82">
        <f>$C$22</f>
        <v>8.0406452819083043</v>
      </c>
      <c r="V9" s="82">
        <f t="shared" si="1"/>
        <v>8.0406452819083043</v>
      </c>
    </row>
    <row r="10" spans="1:24" ht="15" customHeight="1" x14ac:dyDescent="0.2">
      <c r="A10" s="102" t="s">
        <v>7</v>
      </c>
      <c r="B10" s="61">
        <f>MIN($N$3:$N$252)</f>
        <v>10.1</v>
      </c>
      <c r="C10" s="60"/>
      <c r="D10" s="4"/>
      <c r="M10" s="56">
        <v>38264</v>
      </c>
      <c r="N10" s="57">
        <v>21.2</v>
      </c>
      <c r="O10" s="58">
        <f t="shared" si="0"/>
        <v>3.0540011816779669</v>
      </c>
      <c r="T10" s="69" t="s">
        <v>113</v>
      </c>
      <c r="U10" s="82">
        <f>$C$32</f>
        <v>2.2860236431817662</v>
      </c>
      <c r="V10" s="82">
        <f t="shared" si="1"/>
        <v>2.2860236431817662</v>
      </c>
    </row>
    <row r="11" spans="1:24" ht="15" customHeight="1" x14ac:dyDescent="0.2">
      <c r="A11" s="102" t="s">
        <v>8</v>
      </c>
      <c r="B11" s="61">
        <f>MAX($N$3:$N$252)</f>
        <v>28</v>
      </c>
      <c r="C11" s="60"/>
      <c r="D11" s="4"/>
      <c r="M11" s="56">
        <v>38421</v>
      </c>
      <c r="N11" s="57">
        <v>14.1</v>
      </c>
      <c r="O11" s="58">
        <f t="shared" si="0"/>
        <v>2.6461747973841225</v>
      </c>
      <c r="T11" s="69" t="s">
        <v>68</v>
      </c>
      <c r="U11" s="82">
        <f>$B$12</f>
        <v>14.850000000000001</v>
      </c>
      <c r="V11" s="82">
        <f>U11</f>
        <v>14.850000000000001</v>
      </c>
    </row>
    <row r="12" spans="1:24" ht="15" customHeight="1" x14ac:dyDescent="0.2">
      <c r="A12" s="102" t="s">
        <v>68</v>
      </c>
      <c r="B12" s="62">
        <f>MEDIAN($N$3:$N$252)</f>
        <v>14.850000000000001</v>
      </c>
      <c r="C12" s="50"/>
      <c r="D12" s="4"/>
      <c r="M12" s="56">
        <v>38631</v>
      </c>
      <c r="N12" s="57">
        <v>19.399999999999999</v>
      </c>
      <c r="O12" s="58">
        <f t="shared" si="0"/>
        <v>2.9652730660692823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38747</v>
      </c>
      <c r="N13" s="57">
        <v>18.3</v>
      </c>
      <c r="O13" s="58">
        <f t="shared" si="0"/>
        <v>2.9069010598473755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38944</v>
      </c>
      <c r="N14" s="57">
        <v>18.3</v>
      </c>
      <c r="O14" s="58">
        <f t="shared" si="0"/>
        <v>2.9069010598473755</v>
      </c>
      <c r="T14" s="11"/>
      <c r="U14" s="77">
        <f>$B$36</f>
        <v>9.5949999999999989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39115</v>
      </c>
      <c r="N15" s="57">
        <v>13.8</v>
      </c>
      <c r="O15" s="58">
        <f t="shared" si="0"/>
        <v>2.6246685921631592</v>
      </c>
      <c r="T15" s="69">
        <v>1</v>
      </c>
      <c r="U15" s="77">
        <f t="shared" ref="U15:U39" si="3">$B$36+T15*$B$38</f>
        <v>10.387199999999998</v>
      </c>
      <c r="V15" s="84">
        <f>FREQUENCY($N$3:$N$252,$U$15:$U$39)</f>
        <v>1</v>
      </c>
      <c r="W15" s="79">
        <f t="shared" ref="W15:W39" si="4">(U15+U14)/2</f>
        <v>9.9910999999999994</v>
      </c>
      <c r="X15" s="80">
        <f t="shared" si="2"/>
        <v>2.7441467350142142E-2</v>
      </c>
    </row>
    <row r="16" spans="1:24" ht="15" customHeight="1" x14ac:dyDescent="0.2">
      <c r="A16" s="101" t="s">
        <v>73</v>
      </c>
      <c r="B16" s="63">
        <f>AVERAGE($N$3:$N$252)</f>
        <v>15.752173913043482</v>
      </c>
      <c r="C16" s="60"/>
      <c r="M16" s="56">
        <v>39318</v>
      </c>
      <c r="N16" s="57">
        <v>17.8</v>
      </c>
      <c r="O16" s="58">
        <f t="shared" si="0"/>
        <v>2.8791984572980396</v>
      </c>
      <c r="T16" s="69">
        <v>2</v>
      </c>
      <c r="U16" s="77">
        <f t="shared" si="3"/>
        <v>11.179399999999999</v>
      </c>
      <c r="V16" s="84">
        <f t="array" ref="V16:V40">FREQUENCY($N$3:$N$252,$U$15:$U$39)</f>
        <v>1</v>
      </c>
      <c r="W16" s="79">
        <f t="shared" si="4"/>
        <v>10.783299999999999</v>
      </c>
      <c r="X16" s="80">
        <f t="shared" si="2"/>
        <v>2.7441467350142142E-2</v>
      </c>
    </row>
    <row r="17" spans="1:24" ht="15" customHeight="1" x14ac:dyDescent="0.2">
      <c r="A17" s="102" t="s">
        <v>75</v>
      </c>
      <c r="B17" s="62">
        <f>STDEV($N$3:$N$252)</f>
        <v>3.3148647789035683</v>
      </c>
      <c r="C17" s="60"/>
      <c r="D17" s="4"/>
      <c r="M17" s="56">
        <v>39492</v>
      </c>
      <c r="N17" s="57">
        <v>14.8</v>
      </c>
      <c r="O17" s="58">
        <f t="shared" si="0"/>
        <v>2.6946271807700692</v>
      </c>
      <c r="T17" s="69">
        <v>3</v>
      </c>
      <c r="U17" s="77">
        <f t="shared" si="3"/>
        <v>11.971599999999999</v>
      </c>
      <c r="V17" s="84">
        <v>1</v>
      </c>
      <c r="W17" s="79">
        <f t="shared" si="4"/>
        <v>11.575499999999998</v>
      </c>
      <c r="X17" s="80">
        <f t="shared" si="2"/>
        <v>2.7441467350142142E-2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0.28523370985677737</v>
      </c>
      <c r="C18" s="114" t="s">
        <v>45</v>
      </c>
      <c r="D18" s="4"/>
      <c r="J18" s="6"/>
      <c r="M18" s="56">
        <v>39723</v>
      </c>
      <c r="N18" s="57">
        <v>18.3</v>
      </c>
      <c r="O18" s="58">
        <f t="shared" si="0"/>
        <v>2.9069010598473755</v>
      </c>
      <c r="T18" s="69">
        <v>4</v>
      </c>
      <c r="U18" s="77">
        <f t="shared" si="3"/>
        <v>12.7638</v>
      </c>
      <c r="V18" s="84">
        <v>1</v>
      </c>
      <c r="W18" s="79">
        <f t="shared" si="4"/>
        <v>12.367699999999999</v>
      </c>
      <c r="X18" s="80">
        <f t="shared" si="2"/>
        <v>2.7441467350142142E-2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39842</v>
      </c>
      <c r="N19" s="57">
        <v>15.1</v>
      </c>
      <c r="O19" s="58">
        <f t="shared" si="0"/>
        <v>2.7146947438208788</v>
      </c>
      <c r="T19" s="69">
        <v>5</v>
      </c>
      <c r="U19" s="77">
        <f t="shared" si="3"/>
        <v>13.555999999999999</v>
      </c>
      <c r="V19" s="84">
        <v>2</v>
      </c>
      <c r="W19" s="79">
        <f t="shared" si="4"/>
        <v>13.1599</v>
      </c>
      <c r="X19" s="80">
        <f t="shared" si="2"/>
        <v>5.4882934700284283E-2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40024</v>
      </c>
      <c r="N20" s="57">
        <v>14.6</v>
      </c>
      <c r="O20" s="58">
        <f t="shared" si="0"/>
        <v>2.6810215287142909</v>
      </c>
      <c r="T20" s="69">
        <v>6</v>
      </c>
      <c r="U20" s="77">
        <f t="shared" si="3"/>
        <v>14.348199999999999</v>
      </c>
      <c r="V20" s="84">
        <v>7</v>
      </c>
      <c r="W20" s="79">
        <f t="shared" si="4"/>
        <v>13.952099999999998</v>
      </c>
      <c r="X20" s="80">
        <f t="shared" si="2"/>
        <v>0.19209027145099497</v>
      </c>
    </row>
    <row r="21" spans="1:24" ht="15" customHeight="1" x14ac:dyDescent="0.2">
      <c r="A21" s="103" t="s">
        <v>76</v>
      </c>
      <c r="B21" s="62">
        <f>NORMINV(0.975,$B$16,$B$17)</f>
        <v>22.249189493314802</v>
      </c>
      <c r="C21" s="62">
        <f>NORMINV(0.025,$B$16,$B$17)</f>
        <v>9.255158332772158</v>
      </c>
      <c r="D21" s="4"/>
      <c r="M21" s="56">
        <v>40198</v>
      </c>
      <c r="N21" s="57">
        <v>14.4</v>
      </c>
      <c r="O21" s="58">
        <f t="shared" si="0"/>
        <v>2.6672282065819548</v>
      </c>
      <c r="T21" s="69">
        <v>7</v>
      </c>
      <c r="U21" s="77">
        <f t="shared" si="3"/>
        <v>15.1404</v>
      </c>
      <c r="V21" s="84">
        <v>4</v>
      </c>
      <c r="W21" s="79">
        <f t="shared" si="4"/>
        <v>14.744299999999999</v>
      </c>
      <c r="X21" s="80">
        <f t="shared" si="2"/>
        <v>0.10976586940056857</v>
      </c>
    </row>
    <row r="22" spans="1:24" ht="15" customHeight="1" x14ac:dyDescent="0.2">
      <c r="A22" s="104" t="s">
        <v>77</v>
      </c>
      <c r="B22" s="62">
        <f>NORMINV(0.99,$B$16,$B$17)</f>
        <v>23.463702544178659</v>
      </c>
      <c r="C22" s="62">
        <f>NORMINV(0.01,B16,B17)</f>
        <v>8.0406452819083043</v>
      </c>
      <c r="M22" s="56">
        <v>40329</v>
      </c>
      <c r="N22" s="57">
        <v>13.2</v>
      </c>
      <c r="O22" s="58">
        <f t="shared" si="0"/>
        <v>2.5802168295923251</v>
      </c>
      <c r="T22" s="69">
        <v>8</v>
      </c>
      <c r="U22" s="77">
        <f t="shared" si="3"/>
        <v>15.932600000000001</v>
      </c>
      <c r="V22" s="84">
        <v>10</v>
      </c>
      <c r="W22" s="79">
        <f t="shared" si="4"/>
        <v>15.5365</v>
      </c>
      <c r="X22" s="80">
        <f t="shared" si="2"/>
        <v>0.27441467350142146</v>
      </c>
    </row>
    <row r="23" spans="1:24" ht="15" customHeight="1" x14ac:dyDescent="0.25">
      <c r="E23" s="144" t="s">
        <v>80</v>
      </c>
      <c r="F23" s="144"/>
      <c r="G23" s="144"/>
      <c r="M23" s="56">
        <v>40409</v>
      </c>
      <c r="N23" s="57">
        <v>14.5</v>
      </c>
      <c r="O23" s="58">
        <f t="shared" si="0"/>
        <v>2.6741486494265287</v>
      </c>
      <c r="T23" s="69">
        <v>9</v>
      </c>
      <c r="U23" s="77">
        <f t="shared" si="3"/>
        <v>16.724800000000002</v>
      </c>
      <c r="V23" s="84">
        <v>4</v>
      </c>
      <c r="W23" s="79">
        <f t="shared" si="4"/>
        <v>16.328700000000001</v>
      </c>
      <c r="X23" s="80">
        <f t="shared" si="2"/>
        <v>0.10976586940056857</v>
      </c>
    </row>
    <row r="24" spans="1:24" ht="15" customHeight="1" x14ac:dyDescent="0.2">
      <c r="M24" s="56">
        <v>40487</v>
      </c>
      <c r="N24" s="57">
        <v>13.5</v>
      </c>
      <c r="O24" s="58">
        <f t="shared" si="0"/>
        <v>2.6026896854443837</v>
      </c>
      <c r="T24" s="69">
        <v>10</v>
      </c>
      <c r="U24" s="77">
        <f t="shared" si="3"/>
        <v>17.516999999999999</v>
      </c>
      <c r="V24" s="84">
        <v>2</v>
      </c>
      <c r="W24" s="79">
        <f t="shared" si="4"/>
        <v>17.120899999999999</v>
      </c>
      <c r="X24" s="80">
        <f t="shared" si="2"/>
        <v>5.4882934700284283E-2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40639</v>
      </c>
      <c r="N25" s="57">
        <v>15</v>
      </c>
      <c r="O25" s="58">
        <f t="shared" si="0"/>
        <v>2.7080502011022101</v>
      </c>
      <c r="Q25" s="75" t="s">
        <v>68</v>
      </c>
      <c r="R25" s="75">
        <f>MEDIAN($O$3:$O$252)</f>
        <v>2.6979941968607415</v>
      </c>
      <c r="T25" s="69">
        <v>11</v>
      </c>
      <c r="U25" s="77">
        <f t="shared" si="3"/>
        <v>18.309200000000001</v>
      </c>
      <c r="V25" s="84">
        <v>2</v>
      </c>
      <c r="W25" s="79">
        <f t="shared" si="4"/>
        <v>17.9131</v>
      </c>
      <c r="X25" s="80">
        <f t="shared" si="2"/>
        <v>5.4882934700284283E-2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40744</v>
      </c>
      <c r="N26" s="57">
        <v>15.7</v>
      </c>
      <c r="O26" s="58">
        <f t="shared" si="0"/>
        <v>2.7536607123542622</v>
      </c>
      <c r="Q26" s="75" t="s">
        <v>73</v>
      </c>
      <c r="R26" s="75">
        <f>AVERAGE($O$3:$O$252)</f>
        <v>2.7376899007460218</v>
      </c>
      <c r="T26" s="69">
        <v>12</v>
      </c>
      <c r="U26" s="77">
        <f t="shared" si="3"/>
        <v>19.101399999999998</v>
      </c>
      <c r="V26" s="84">
        <v>5</v>
      </c>
      <c r="W26" s="79">
        <f t="shared" si="4"/>
        <v>18.705300000000001</v>
      </c>
      <c r="X26" s="80">
        <f t="shared" si="2"/>
        <v>0.13720733675071073</v>
      </c>
    </row>
    <row r="27" spans="1:24" ht="15" customHeight="1" x14ac:dyDescent="0.2">
      <c r="A27" s="65" t="s">
        <v>17</v>
      </c>
      <c r="B27" s="62">
        <f>EXP($R$26)</f>
        <v>15.451249915421805</v>
      </c>
      <c r="C27" s="62"/>
      <c r="E27" s="7" t="e">
        <f>STDEV(C50:C199)</f>
        <v>#DIV/0!</v>
      </c>
      <c r="F27" s="7" t="e">
        <f>NORMINV(0.025,$E26,$E27)</f>
        <v>#DIV/0!</v>
      </c>
      <c r="M27" s="56">
        <v>40799</v>
      </c>
      <c r="N27" s="57">
        <v>14.1</v>
      </c>
      <c r="O27" s="58">
        <f t="shared" si="0"/>
        <v>2.6461747973841225</v>
      </c>
      <c r="Q27" s="75" t="s">
        <v>104</v>
      </c>
      <c r="R27" s="75">
        <f>STDEV($O$3:$O$252)</f>
        <v>0.19415250083802654</v>
      </c>
      <c r="T27" s="69">
        <v>13</v>
      </c>
      <c r="U27" s="77">
        <f t="shared" si="3"/>
        <v>19.893599999999999</v>
      </c>
      <c r="V27" s="84">
        <v>2</v>
      </c>
      <c r="W27" s="79">
        <f t="shared" si="4"/>
        <v>19.497499999999999</v>
      </c>
      <c r="X27" s="80">
        <f t="shared" si="2"/>
        <v>5.4882934700284283E-2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0.21427767282151583</v>
      </c>
      <c r="C28" s="115" t="s">
        <v>45</v>
      </c>
      <c r="F28" s="7" t="e">
        <f>NORMINV(0.01,$E$26,$E$27)</f>
        <v>#DIV/0!</v>
      </c>
      <c r="M28" s="56">
        <v>40898</v>
      </c>
      <c r="N28" s="57">
        <v>14.9</v>
      </c>
      <c r="O28" s="58">
        <f t="shared" si="0"/>
        <v>2.7013612129514133</v>
      </c>
      <c r="Q28" s="75" t="s">
        <v>108</v>
      </c>
      <c r="R28" s="75">
        <f>NORMINV(0.025,$R$26,$R$27)</f>
        <v>2.3571579915951073</v>
      </c>
      <c r="T28" s="69">
        <v>14</v>
      </c>
      <c r="U28" s="77">
        <f t="shared" si="3"/>
        <v>20.6858</v>
      </c>
      <c r="V28" s="84">
        <v>2</v>
      </c>
      <c r="W28" s="79">
        <f t="shared" si="4"/>
        <v>20.2897</v>
      </c>
      <c r="X28" s="80">
        <f t="shared" si="2"/>
        <v>5.4882934700284283E-2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40977</v>
      </c>
      <c r="N29" s="57">
        <v>13.5</v>
      </c>
      <c r="O29" s="58">
        <f t="shared" si="0"/>
        <v>2.6026896854443837</v>
      </c>
      <c r="Q29" s="75" t="s">
        <v>107</v>
      </c>
      <c r="R29" s="75">
        <f>NORMINV(0.01,$R$26,$R$27)</f>
        <v>2.2860236431817662</v>
      </c>
      <c r="T29" s="69">
        <v>15</v>
      </c>
      <c r="U29" s="77">
        <f t="shared" si="3"/>
        <v>21.478000000000002</v>
      </c>
      <c r="V29" s="84">
        <v>0</v>
      </c>
      <c r="W29" s="79">
        <f t="shared" si="4"/>
        <v>21.081900000000001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41086</v>
      </c>
      <c r="N30" s="57">
        <v>15.9</v>
      </c>
      <c r="O30" s="58">
        <f t="shared" si="0"/>
        <v>2.7663191092261861</v>
      </c>
      <c r="Q30" s="75" t="s">
        <v>105</v>
      </c>
      <c r="R30" s="75">
        <f>NORMINV(0.95,$R$26,$R$27)</f>
        <v>3.0570423459311482</v>
      </c>
      <c r="T30" s="69">
        <v>16</v>
      </c>
      <c r="U30" s="77">
        <f t="shared" si="3"/>
        <v>22.270200000000003</v>
      </c>
      <c r="V30" s="84">
        <v>1</v>
      </c>
      <c r="W30" s="79">
        <f t="shared" si="4"/>
        <v>21.874100000000002</v>
      </c>
      <c r="X30" s="80">
        <f t="shared" si="2"/>
        <v>2.7441467350142142E-2</v>
      </c>
    </row>
    <row r="31" spans="1:24" ht="15" customHeight="1" x14ac:dyDescent="0.2">
      <c r="A31" s="65" t="s">
        <v>98</v>
      </c>
      <c r="B31" s="62">
        <f>EXP($R30)-$B$26</f>
        <v>21.264570817632411</v>
      </c>
      <c r="C31" s="62">
        <f>NORMINV(0.025,$R$26,$R$27)</f>
        <v>2.3571579915951073</v>
      </c>
      <c r="E31" s="7" t="e">
        <f>NORMINV(0.98,$E$26,$E$27)</f>
        <v>#DIV/0!</v>
      </c>
      <c r="M31" s="56">
        <v>41164</v>
      </c>
      <c r="N31" s="57">
        <v>16.399999999999999</v>
      </c>
      <c r="O31" s="58">
        <f t="shared" si="0"/>
        <v>2.7972813348301528</v>
      </c>
      <c r="Q31" s="75" t="s">
        <v>106</v>
      </c>
      <c r="R31" s="75">
        <f>NORMINV(0.98,$R$26,$R$27)</f>
        <v>3.1364303878385629</v>
      </c>
      <c r="T31" s="69">
        <v>17</v>
      </c>
      <c r="U31" s="77">
        <f t="shared" si="3"/>
        <v>23.0624</v>
      </c>
      <c r="V31" s="84">
        <v>0</v>
      </c>
      <c r="W31" s="79">
        <f t="shared" si="4"/>
        <v>22.6663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23.021542035867611</v>
      </c>
      <c r="C32" s="62">
        <f>NORMINV(0.01,$R$26,$R$27)</f>
        <v>2.2860236431817662</v>
      </c>
      <c r="M32" s="56">
        <v>41248</v>
      </c>
      <c r="N32" s="57">
        <v>15.7</v>
      </c>
      <c r="O32" s="58">
        <f t="shared" si="0"/>
        <v>2.7536607123542622</v>
      </c>
      <c r="T32" s="69">
        <v>18</v>
      </c>
      <c r="U32" s="77">
        <f t="shared" si="3"/>
        <v>23.854600000000001</v>
      </c>
      <c r="V32" s="84">
        <v>0</v>
      </c>
      <c r="W32" s="79">
        <f t="shared" si="4"/>
        <v>23.458500000000001</v>
      </c>
      <c r="X32" s="80">
        <f t="shared" si="2"/>
        <v>0</v>
      </c>
    </row>
    <row r="33" spans="1:24" ht="15" customHeight="1" x14ac:dyDescent="0.2">
      <c r="M33" s="56">
        <v>41338</v>
      </c>
      <c r="N33" s="57">
        <v>14.7</v>
      </c>
      <c r="O33" s="58">
        <f t="shared" si="0"/>
        <v>2.6878474937846906</v>
      </c>
      <c r="T33" s="69">
        <v>19</v>
      </c>
      <c r="U33" s="77">
        <f t="shared" si="3"/>
        <v>24.646799999999999</v>
      </c>
      <c r="V33" s="84">
        <v>0</v>
      </c>
      <c r="W33" s="79">
        <f t="shared" si="4"/>
        <v>24.250700000000002</v>
      </c>
      <c r="X33" s="80">
        <f t="shared" si="2"/>
        <v>0</v>
      </c>
    </row>
    <row r="34" spans="1:24" ht="15" customHeight="1" x14ac:dyDescent="0.2">
      <c r="M34" s="56">
        <v>41429</v>
      </c>
      <c r="N34" s="57">
        <v>16.5</v>
      </c>
      <c r="O34" s="58">
        <f t="shared" si="0"/>
        <v>2.8033603809065348</v>
      </c>
      <c r="T34" s="69">
        <v>20</v>
      </c>
      <c r="U34" s="77">
        <f t="shared" si="3"/>
        <v>25.439</v>
      </c>
      <c r="V34" s="84">
        <v>1</v>
      </c>
      <c r="W34" s="79">
        <f t="shared" si="4"/>
        <v>25.042899999999999</v>
      </c>
      <c r="X34" s="80">
        <f t="shared" si="2"/>
        <v>2.7441467350142142E-2</v>
      </c>
    </row>
    <row r="35" spans="1:24" ht="15" customHeight="1" x14ac:dyDescent="0.25">
      <c r="A35" s="140" t="s">
        <v>78</v>
      </c>
      <c r="B35" s="140"/>
      <c r="C35" s="140"/>
      <c r="M35" s="56">
        <v>41516</v>
      </c>
      <c r="N35" s="57">
        <v>17.2</v>
      </c>
      <c r="O35" s="58">
        <f t="shared" si="0"/>
        <v>2.8449093838194073</v>
      </c>
      <c r="T35" s="69">
        <v>21</v>
      </c>
      <c r="U35" s="77">
        <f t="shared" si="3"/>
        <v>26.231200000000001</v>
      </c>
      <c r="V35" s="84">
        <v>0</v>
      </c>
      <c r="W35" s="79">
        <f t="shared" si="4"/>
        <v>25.835100000000001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9.5949999999999989</v>
      </c>
      <c r="M36" s="56">
        <v>41617</v>
      </c>
      <c r="N36" s="57">
        <v>18.5</v>
      </c>
      <c r="O36" s="58">
        <f t="shared" si="0"/>
        <v>2.917770732084279</v>
      </c>
      <c r="T36" s="69">
        <v>22</v>
      </c>
      <c r="U36" s="77">
        <f t="shared" si="3"/>
        <v>27.023400000000002</v>
      </c>
      <c r="V36" s="84">
        <v>0</v>
      </c>
      <c r="W36" s="79">
        <f t="shared" si="4"/>
        <v>26.627300000000002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29.400000000000002</v>
      </c>
      <c r="D37" s="8"/>
      <c r="E37" s="8"/>
      <c r="M37" s="56">
        <v>41696</v>
      </c>
      <c r="N37" s="57">
        <v>14.6</v>
      </c>
      <c r="O37" s="58">
        <f t="shared" si="0"/>
        <v>2.6810215287142909</v>
      </c>
      <c r="T37" s="69">
        <v>23</v>
      </c>
      <c r="U37" s="77">
        <f t="shared" si="3"/>
        <v>27.815600000000003</v>
      </c>
      <c r="V37" s="84">
        <v>0</v>
      </c>
      <c r="W37" s="79">
        <f t="shared" si="4"/>
        <v>27.419500000000003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0.79220000000000013</v>
      </c>
      <c r="M38" s="56">
        <v>41813</v>
      </c>
      <c r="N38" s="57">
        <v>10.1</v>
      </c>
      <c r="O38" s="58">
        <f t="shared" si="0"/>
        <v>2.3125354238472138</v>
      </c>
      <c r="T38" s="69">
        <v>24</v>
      </c>
      <c r="U38" s="77">
        <f t="shared" si="3"/>
        <v>28.607800000000001</v>
      </c>
      <c r="V38" s="84">
        <v>0</v>
      </c>
      <c r="W38" s="79">
        <f t="shared" si="4"/>
        <v>28.2117</v>
      </c>
      <c r="X38" s="80">
        <f t="shared" si="2"/>
        <v>0</v>
      </c>
    </row>
    <row r="39" spans="1:24" ht="15" x14ac:dyDescent="0.2">
      <c r="M39" s="56">
        <v>41886</v>
      </c>
      <c r="N39" s="57">
        <v>12.6</v>
      </c>
      <c r="O39" s="58">
        <f t="shared" si="0"/>
        <v>2.5336968139574321</v>
      </c>
      <c r="T39" s="69">
        <v>25</v>
      </c>
      <c r="U39" s="77">
        <f t="shared" si="3"/>
        <v>29.400000000000002</v>
      </c>
      <c r="V39" s="84">
        <v>1</v>
      </c>
      <c r="W39" s="79">
        <f t="shared" si="4"/>
        <v>29.003900000000002</v>
      </c>
      <c r="X39" s="80">
        <f t="shared" si="2"/>
        <v>2.7441467350142142E-2</v>
      </c>
    </row>
    <row r="40" spans="1:24" ht="15" x14ac:dyDescent="0.2">
      <c r="M40" s="56">
        <v>41975</v>
      </c>
      <c r="N40" s="57">
        <v>11.9</v>
      </c>
      <c r="O40" s="58">
        <f t="shared" si="0"/>
        <v>2.4765384001174837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42046</v>
      </c>
      <c r="N41" s="57">
        <v>15.8</v>
      </c>
      <c r="O41" s="58">
        <f t="shared" si="0"/>
        <v>2.760009940032921</v>
      </c>
    </row>
    <row r="42" spans="1:24" ht="15" x14ac:dyDescent="0.2">
      <c r="M42" s="56">
        <v>42156</v>
      </c>
      <c r="N42" s="57">
        <v>13.2</v>
      </c>
      <c r="O42" s="58">
        <f t="shared" si="0"/>
        <v>2.5802168295923251</v>
      </c>
    </row>
    <row r="43" spans="1:24" ht="15" x14ac:dyDescent="0.2">
      <c r="M43" s="56">
        <v>42254</v>
      </c>
      <c r="N43" s="57">
        <v>13.1</v>
      </c>
      <c r="O43" s="58">
        <f t="shared" si="0"/>
        <v>2.5726122302071057</v>
      </c>
    </row>
    <row r="44" spans="1:24" ht="15" x14ac:dyDescent="0.2">
      <c r="M44" s="56">
        <v>42332</v>
      </c>
      <c r="N44" s="57">
        <v>13.7</v>
      </c>
      <c r="O44" s="58">
        <f t="shared" si="0"/>
        <v>2.6173958328340792</v>
      </c>
      <c r="T44" s="83" t="s">
        <v>13</v>
      </c>
    </row>
    <row r="45" spans="1:24" ht="15" x14ac:dyDescent="0.2">
      <c r="M45" s="56">
        <v>42403</v>
      </c>
      <c r="N45" s="57">
        <v>14.5</v>
      </c>
      <c r="O45" s="58">
        <f t="shared" si="0"/>
        <v>2.6741486494265287</v>
      </c>
      <c r="T45" s="69" t="s">
        <v>26</v>
      </c>
      <c r="U45" s="69" t="s">
        <v>27</v>
      </c>
    </row>
    <row r="46" spans="1:24" ht="15" x14ac:dyDescent="0.2">
      <c r="B46" s="6"/>
      <c r="M46" s="56">
        <v>42508</v>
      </c>
      <c r="N46" s="57">
        <v>13.5</v>
      </c>
      <c r="O46" s="58">
        <f t="shared" si="0"/>
        <v>2.6026896854443837</v>
      </c>
      <c r="T46" s="85">
        <f>$U$14-$B$38/100</f>
        <v>9.5870779999999982</v>
      </c>
      <c r="U46" s="28">
        <v>0</v>
      </c>
    </row>
    <row r="47" spans="1:24" ht="15" x14ac:dyDescent="0.2">
      <c r="B47" s="9"/>
      <c r="C47" s="9"/>
      <c r="D47" s="9"/>
      <c r="E47" s="9"/>
      <c r="M47" s="56">
        <v>42579</v>
      </c>
      <c r="N47" s="57">
        <v>12.9</v>
      </c>
      <c r="O47" s="58">
        <f t="shared" si="0"/>
        <v>2.5572273113676265</v>
      </c>
      <c r="T47" s="85">
        <f>$U$14+$B$38/100</f>
        <v>9.6029219999999995</v>
      </c>
      <c r="U47" s="28">
        <f>$X$15</f>
        <v>2.7441467350142142E-2</v>
      </c>
    </row>
    <row r="48" spans="1:24" ht="16.149999999999999" customHeight="1" x14ac:dyDescent="0.2">
      <c r="D48" s="9"/>
      <c r="E48" s="9"/>
      <c r="K48" s="11"/>
      <c r="L48" s="12"/>
      <c r="M48" s="56">
        <v>42696</v>
      </c>
      <c r="N48" s="57">
        <v>11.1</v>
      </c>
      <c r="O48" s="58">
        <f t="shared" si="0"/>
        <v>2.4069451083182885</v>
      </c>
      <c r="T48" s="85">
        <f>$U$15-$B$38/100</f>
        <v>10.379277999999998</v>
      </c>
      <c r="U48" s="28">
        <f>$X$15</f>
        <v>2.7441467350142142E-2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10.395121999999999</v>
      </c>
      <c r="U49" s="28">
        <f>$X$16</f>
        <v>2.7441467350142142E-2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11.171477999999999</v>
      </c>
      <c r="U50" s="28">
        <f>$X$16</f>
        <v>2.7441467350142142E-2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11.187322</v>
      </c>
      <c r="U51" s="28">
        <f>$X$17</f>
        <v>2.7441467350142142E-2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11.963677999999998</v>
      </c>
      <c r="U52" s="28">
        <f>$X$17</f>
        <v>2.7441467350142142E-2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11.979521999999999</v>
      </c>
      <c r="U53" s="28">
        <f>$X$18</f>
        <v>2.7441467350142142E-2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12.755877999999999</v>
      </c>
      <c r="U54" s="28">
        <f>$X$18</f>
        <v>2.7441467350142142E-2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12.771722</v>
      </c>
      <c r="U55" s="28">
        <f>$X$19</f>
        <v>5.4882934700284283E-2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13.548077999999999</v>
      </c>
      <c r="U56" s="28">
        <f>$X$19</f>
        <v>5.4882934700284283E-2</v>
      </c>
    </row>
    <row r="57" spans="5:21" ht="15" x14ac:dyDescent="0.2">
      <c r="E57" s="70">
        <v>1</v>
      </c>
      <c r="F57" s="74">
        <f>$B$21</f>
        <v>22.249189493314802</v>
      </c>
      <c r="G57" s="74">
        <f>$C$21</f>
        <v>9.255158332772158</v>
      </c>
      <c r="H57" s="74">
        <f>$B$22</f>
        <v>23.463702544178659</v>
      </c>
      <c r="I57" s="74">
        <f>$C$22</f>
        <v>8.0406452819083043</v>
      </c>
      <c r="J57" s="74">
        <f>$B$31</f>
        <v>21.264570817632411</v>
      </c>
      <c r="K57" s="74">
        <f>$B$32</f>
        <v>23.021542035867611</v>
      </c>
      <c r="M57" s="56"/>
      <c r="N57" s="57"/>
      <c r="O57" s="58" t="b">
        <f t="shared" si="0"/>
        <v>0</v>
      </c>
      <c r="T57" s="85">
        <f>$U$19+$B$38/100</f>
        <v>13.563922</v>
      </c>
      <c r="U57" s="28">
        <f>$X$20</f>
        <v>0.19209027145099497</v>
      </c>
    </row>
    <row r="58" spans="5:21" ht="15" x14ac:dyDescent="0.2">
      <c r="E58" s="70">
        <v>51501</v>
      </c>
      <c r="F58" s="74">
        <f>$B$21</f>
        <v>22.249189493314802</v>
      </c>
      <c r="G58" s="74">
        <f>$C$21</f>
        <v>9.255158332772158</v>
      </c>
      <c r="H58" s="74">
        <f>$B$22</f>
        <v>23.463702544178659</v>
      </c>
      <c r="I58" s="74">
        <f>$C$22</f>
        <v>8.0406452819083043</v>
      </c>
      <c r="J58" s="74">
        <f>$B$31</f>
        <v>21.264570817632411</v>
      </c>
      <c r="K58" s="74">
        <f>$B$32</f>
        <v>23.021542035867611</v>
      </c>
      <c r="M58" s="56"/>
      <c r="N58" s="57"/>
      <c r="O58" s="58" t="b">
        <f t="shared" si="0"/>
        <v>0</v>
      </c>
      <c r="T58" s="85">
        <f>$U$20-$B$38/100</f>
        <v>14.340277999999998</v>
      </c>
      <c r="U58" s="28">
        <f>$X$20</f>
        <v>0.19209027145099497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14.356121999999999</v>
      </c>
      <c r="U59" s="28">
        <f>$X$21</f>
        <v>0.10976586940056857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15.132477999999999</v>
      </c>
      <c r="U60" s="28">
        <f>$X$21</f>
        <v>0.10976586940056857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15.148322</v>
      </c>
      <c r="U61" s="28">
        <f>$X$22</f>
        <v>0.27441467350142146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15.924678</v>
      </c>
      <c r="U62" s="28">
        <f>$X$22</f>
        <v>0.27441467350142146</v>
      </c>
    </row>
    <row r="63" spans="5:21" ht="15" x14ac:dyDescent="0.2">
      <c r="E63" s="72">
        <v>-5</v>
      </c>
      <c r="F63" s="73">
        <f>$B$16+$E63*$B$17</f>
        <v>-0.82214998147436091</v>
      </c>
      <c r="G63" s="73">
        <f>NORMDIST($F63,$B$16,$B$17,FALSE)</f>
        <v>4.4850080286715291E-7</v>
      </c>
      <c r="H63" s="73">
        <f>EXP($R$26+$E63*$R$27)</f>
        <v>5.8528422418086485</v>
      </c>
      <c r="I63" s="73">
        <f t="shared" ref="I63:I113" si="5">H63-$B$26</f>
        <v>5.8528422418086485</v>
      </c>
      <c r="J63" s="73">
        <f>1/$H63/SQRT(2*PI())/$R$27*EXP(-POWER(LN($H63)-$R$26,2)/2/POWER($R$27,2))</f>
        <v>1.3083358290688296E-6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15.940522000000001</v>
      </c>
      <c r="U63" s="28">
        <f>$X$23</f>
        <v>0.10976586940056857</v>
      </c>
    </row>
    <row r="64" spans="5:21" ht="15" x14ac:dyDescent="0.2">
      <c r="E64" s="72">
        <v>-4.8</v>
      </c>
      <c r="F64" s="73">
        <f t="shared" ref="F64:F113" si="6">$B$16+$E64*$B$17</f>
        <v>-0.159177025693646</v>
      </c>
      <c r="G64" s="73">
        <f t="shared" ref="G64:G113" si="7">NORMDIST($F64,$B$16,$B$17,FALSE)</f>
        <v>1.1950107637097412E-6</v>
      </c>
      <c r="H64" s="73">
        <f t="shared" ref="H64:H113" si="8">EXP($R$26+$E64*$R$27)</f>
        <v>6.0845811855917677</v>
      </c>
      <c r="I64" s="73">
        <f t="shared" si="5"/>
        <v>6.0845811855917677</v>
      </c>
      <c r="J64" s="73">
        <f t="shared" ref="J64:J113" si="9">1/$H64/SQRT(2*PI())/$R$27*EXP(-POWER(LN($H64)-$R$26,2)/2/POWER($R$27,2))</f>
        <v>3.3532347265353451E-6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16.716878000000001</v>
      </c>
      <c r="U64" s="28">
        <f>$X$23</f>
        <v>0.10976586940056857</v>
      </c>
    </row>
    <row r="65" spans="5:21" ht="15" x14ac:dyDescent="0.2">
      <c r="E65" s="72">
        <v>-4.5999999999999996</v>
      </c>
      <c r="F65" s="73">
        <f t="shared" si="6"/>
        <v>0.50379593008706891</v>
      </c>
      <c r="G65" s="73">
        <f t="shared" si="7"/>
        <v>3.0592053498004128E-6</v>
      </c>
      <c r="H65" s="73">
        <f t="shared" si="8"/>
        <v>6.3254956608255899</v>
      </c>
      <c r="I65" s="73">
        <f t="shared" si="5"/>
        <v>6.3254956608255899</v>
      </c>
      <c r="J65" s="73">
        <f t="shared" si="9"/>
        <v>8.2572778061742295E-6</v>
      </c>
      <c r="K65" s="73">
        <f t="shared" si="10"/>
        <v>2.1124547025028579E-6</v>
      </c>
      <c r="M65" s="56"/>
      <c r="N65" s="57"/>
      <c r="O65" s="58" t="b">
        <f t="shared" si="0"/>
        <v>0</v>
      </c>
      <c r="T65" s="85">
        <f>$U$23+$B$38/100</f>
        <v>16.732722000000003</v>
      </c>
      <c r="U65" s="28">
        <f>$X$24</f>
        <v>5.4882934700284283E-2</v>
      </c>
    </row>
    <row r="66" spans="5:21" ht="15" x14ac:dyDescent="0.2">
      <c r="E66" s="72">
        <v>-4.4000000000000004</v>
      </c>
      <c r="F66" s="73">
        <f t="shared" si="6"/>
        <v>1.1667688858677803</v>
      </c>
      <c r="G66" s="73">
        <f t="shared" si="7"/>
        <v>7.5244309960370565E-6</v>
      </c>
      <c r="H66" s="73">
        <f t="shared" si="8"/>
        <v>6.5759489658665666</v>
      </c>
      <c r="I66" s="73">
        <f t="shared" si="5"/>
        <v>6.5759489658665666</v>
      </c>
      <c r="J66" s="73">
        <f t="shared" si="9"/>
        <v>1.9536108469287752E-5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17.509077999999999</v>
      </c>
      <c r="U66" s="28">
        <f>$X$24</f>
        <v>5.4882934700284283E-2</v>
      </c>
    </row>
    <row r="67" spans="5:21" ht="15" x14ac:dyDescent="0.2">
      <c r="E67" s="72">
        <v>-4.2</v>
      </c>
      <c r="F67" s="73">
        <f t="shared" si="6"/>
        <v>1.8297418416484934</v>
      </c>
      <c r="G67" s="73">
        <f t="shared" si="7"/>
        <v>1.7781439572336336E-5</v>
      </c>
      <c r="H67" s="73">
        <f t="shared" si="8"/>
        <v>6.8363187835998911</v>
      </c>
      <c r="I67" s="73">
        <f t="shared" si="5"/>
        <v>6.8363187835998911</v>
      </c>
      <c r="J67" s="73">
        <f t="shared" si="9"/>
        <v>4.4408636640968438E-5</v>
      </c>
      <c r="K67" s="73">
        <f t="shared" si="10"/>
        <v>1.3345749015906336E-5</v>
      </c>
      <c r="M67" s="56"/>
      <c r="N67" s="57"/>
      <c r="O67" s="58" t="b">
        <f t="shared" ref="O67:O130" si="11">IF($N67&gt;0,LN($N67+$B$26))</f>
        <v>0</v>
      </c>
      <c r="T67" s="85">
        <f>$U$24+$B$38/100</f>
        <v>17.524922</v>
      </c>
      <c r="U67" s="28">
        <f>$X$25</f>
        <v>5.4882934700284283E-2</v>
      </c>
    </row>
    <row r="68" spans="5:21" ht="15" x14ac:dyDescent="0.2">
      <c r="E68" s="72">
        <v>-4</v>
      </c>
      <c r="F68" s="73">
        <f t="shared" si="6"/>
        <v>2.4927147974292083</v>
      </c>
      <c r="G68" s="73">
        <f t="shared" si="7"/>
        <v>4.0372755660081952E-5</v>
      </c>
      <c r="H68" s="73">
        <f t="shared" si="8"/>
        <v>7.1069977509842186</v>
      </c>
      <c r="I68" s="73">
        <f t="shared" si="5"/>
        <v>7.1069977509842186</v>
      </c>
      <c r="J68" s="73">
        <f t="shared" si="9"/>
        <v>9.6989572167335744E-5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18.301278</v>
      </c>
      <c r="U68" s="28">
        <f>$X$25</f>
        <v>5.4882934700284283E-2</v>
      </c>
    </row>
    <row r="69" spans="5:21" ht="15" x14ac:dyDescent="0.2">
      <c r="E69" s="72">
        <v>-3.8</v>
      </c>
      <c r="F69" s="73">
        <f t="shared" si="6"/>
        <v>3.1556877532099232</v>
      </c>
      <c r="G69" s="73">
        <f t="shared" si="7"/>
        <v>8.8072046754204342E-5</v>
      </c>
      <c r="H69" s="73">
        <f t="shared" si="8"/>
        <v>7.3883940511471176</v>
      </c>
      <c r="I69" s="73">
        <f t="shared" si="5"/>
        <v>7.3883940511471176</v>
      </c>
      <c r="J69" s="73">
        <f t="shared" si="9"/>
        <v>2.0352176838799328E-4</v>
      </c>
      <c r="K69" s="73">
        <f t="shared" si="10"/>
        <v>7.2348043925119787E-5</v>
      </c>
      <c r="M69" s="56"/>
      <c r="N69" s="57"/>
      <c r="O69" s="58" t="b">
        <f t="shared" si="11"/>
        <v>0</v>
      </c>
      <c r="T69" s="85">
        <f>$U$25+$B$38/100</f>
        <v>18.317122000000001</v>
      </c>
      <c r="U69" s="28">
        <f>$X$26</f>
        <v>0.13720733675071073</v>
      </c>
    </row>
    <row r="70" spans="5:21" ht="15" x14ac:dyDescent="0.2">
      <c r="E70" s="72">
        <v>-3.6</v>
      </c>
      <c r="F70" s="73">
        <f t="shared" si="6"/>
        <v>3.8186607089906346</v>
      </c>
      <c r="G70" s="73">
        <f t="shared" si="7"/>
        <v>1.8459333062634454E-4</v>
      </c>
      <c r="H70" s="73">
        <f t="shared" si="8"/>
        <v>7.6809320289240866</v>
      </c>
      <c r="I70" s="73">
        <f t="shared" si="5"/>
        <v>7.6809320289240866</v>
      </c>
      <c r="J70" s="73">
        <f t="shared" si="9"/>
        <v>4.10322103255949E-4</v>
      </c>
      <c r="K70" s="73">
        <f t="shared" si="10"/>
        <v>1.5910859015753396E-4</v>
      </c>
      <c r="M70" s="56"/>
      <c r="N70" s="57"/>
      <c r="O70" s="58" t="b">
        <f t="shared" si="11"/>
        <v>0</v>
      </c>
      <c r="T70" s="85">
        <f>$U$26-$B$38/100</f>
        <v>19.093477999999998</v>
      </c>
      <c r="U70" s="28">
        <f>$X$26</f>
        <v>0.13720733675071073</v>
      </c>
    </row>
    <row r="71" spans="5:21" ht="15" x14ac:dyDescent="0.2">
      <c r="E71" s="72">
        <v>-3.4</v>
      </c>
      <c r="F71" s="73">
        <f t="shared" si="6"/>
        <v>4.4816336647713495</v>
      </c>
      <c r="G71" s="73">
        <f t="shared" si="7"/>
        <v>3.7172531932979519E-4</v>
      </c>
      <c r="H71" s="73">
        <f t="shared" si="8"/>
        <v>7.9850528307693684</v>
      </c>
      <c r="I71" s="73">
        <f t="shared" si="5"/>
        <v>7.9850528307693684</v>
      </c>
      <c r="J71" s="73">
        <f t="shared" si="9"/>
        <v>7.9481705509236141E-4</v>
      </c>
      <c r="K71" s="73">
        <f t="shared" si="10"/>
        <v>3.3692926567687983E-4</v>
      </c>
      <c r="M71" s="56"/>
      <c r="N71" s="57"/>
      <c r="O71" s="58" t="b">
        <f t="shared" si="11"/>
        <v>0</v>
      </c>
      <c r="T71" s="85">
        <f>$U$26+$B$38/100</f>
        <v>19.109321999999999</v>
      </c>
      <c r="U71" s="28">
        <f>$X$27</f>
        <v>5.4882934700284283E-2</v>
      </c>
    </row>
    <row r="72" spans="5:21" ht="15" x14ac:dyDescent="0.2">
      <c r="E72" s="72">
        <v>-3.2</v>
      </c>
      <c r="F72" s="73">
        <f t="shared" si="6"/>
        <v>5.1446066205520626</v>
      </c>
      <c r="G72" s="73">
        <f t="shared" si="7"/>
        <v>7.1921129834243386E-4</v>
      </c>
      <c r="H72" s="73">
        <f t="shared" si="8"/>
        <v>8.3012150700035985</v>
      </c>
      <c r="I72" s="73">
        <f t="shared" si="5"/>
        <v>8.3012150700035985</v>
      </c>
      <c r="J72" s="73">
        <f t="shared" si="9"/>
        <v>1.479236667680009E-3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19.885677999999999</v>
      </c>
      <c r="U72" s="28">
        <f>$X$27</f>
        <v>5.4882934700284283E-2</v>
      </c>
    </row>
    <row r="73" spans="5:21" ht="15" x14ac:dyDescent="0.2">
      <c r="E73" s="72">
        <v>-3</v>
      </c>
      <c r="F73" s="73">
        <f t="shared" si="6"/>
        <v>5.8075795763327775</v>
      </c>
      <c r="G73" s="73">
        <f t="shared" si="7"/>
        <v>1.3369620505014697E-3</v>
      </c>
      <c r="H73" s="73">
        <f t="shared" si="8"/>
        <v>8.6298955184013817</v>
      </c>
      <c r="I73" s="73">
        <f t="shared" si="5"/>
        <v>8.6298955184013817</v>
      </c>
      <c r="J73" s="73">
        <f t="shared" si="9"/>
        <v>2.6450651317170642E-3</v>
      </c>
      <c r="K73" s="73">
        <f t="shared" si="10"/>
        <v>1.3498980316300983E-3</v>
      </c>
      <c r="M73" s="56"/>
      <c r="N73" s="57"/>
      <c r="O73" s="58" t="b">
        <f t="shared" si="11"/>
        <v>0</v>
      </c>
      <c r="T73" s="85">
        <f>$U$27+$B$38/100</f>
        <v>19.901522</v>
      </c>
      <c r="U73" s="28">
        <f>$X$28</f>
        <v>5.4882934700284283E-2</v>
      </c>
    </row>
    <row r="74" spans="5:21" ht="15" x14ac:dyDescent="0.2">
      <c r="E74" s="72">
        <v>-2.8</v>
      </c>
      <c r="F74" s="73">
        <f t="shared" si="6"/>
        <v>6.4705525321134907</v>
      </c>
      <c r="G74" s="73">
        <f t="shared" si="7"/>
        <v>2.3878656026500426E-3</v>
      </c>
      <c r="H74" s="73">
        <f t="shared" si="8"/>
        <v>8.971589825161816</v>
      </c>
      <c r="I74" s="73">
        <f t="shared" si="5"/>
        <v>8.971589825161816</v>
      </c>
      <c r="J74" s="73">
        <f t="shared" si="9"/>
        <v>4.5442613233585569E-3</v>
      </c>
      <c r="K74" s="73">
        <f t="shared" si="10"/>
        <v>2.555130330427926E-3</v>
      </c>
      <c r="M74" s="56"/>
      <c r="N74" s="57"/>
      <c r="O74" s="58" t="b">
        <f t="shared" si="11"/>
        <v>0</v>
      </c>
      <c r="T74" s="85">
        <f>$U$28-$B$38/100</f>
        <v>20.677878</v>
      </c>
      <c r="U74" s="28">
        <f>$X$28</f>
        <v>5.4882934700284283E-2</v>
      </c>
    </row>
    <row r="75" spans="5:21" ht="15" x14ac:dyDescent="0.2">
      <c r="E75" s="72">
        <v>-2.6</v>
      </c>
      <c r="F75" s="73">
        <f t="shared" si="6"/>
        <v>7.1335254878942038</v>
      </c>
      <c r="G75" s="73">
        <f t="shared" si="7"/>
        <v>4.0975937601226507E-3</v>
      </c>
      <c r="H75" s="73">
        <f t="shared" si="8"/>
        <v>9.3268132643461108</v>
      </c>
      <c r="I75" s="73">
        <f t="shared" si="5"/>
        <v>9.3268132643461108</v>
      </c>
      <c r="J75" s="73">
        <f t="shared" si="9"/>
        <v>7.5009875794949873E-3</v>
      </c>
      <c r="K75" s="73">
        <f t="shared" si="10"/>
        <v>4.6611880237187493E-3</v>
      </c>
      <c r="M75" s="56"/>
      <c r="N75" s="57"/>
      <c r="O75" s="58" t="b">
        <f t="shared" si="11"/>
        <v>0</v>
      </c>
      <c r="T75" s="85">
        <f>$U$28+$B$38/100</f>
        <v>20.693722000000001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7.7964984436749178</v>
      </c>
      <c r="G76" s="73">
        <f t="shared" si="7"/>
        <v>6.7557899910023365E-3</v>
      </c>
      <c r="H76" s="73">
        <f t="shared" si="8"/>
        <v>9.6961015119094096</v>
      </c>
      <c r="I76" s="73">
        <f t="shared" si="5"/>
        <v>9.6961015119094096</v>
      </c>
      <c r="J76" s="73">
        <f t="shared" si="9"/>
        <v>1.1896023551892029E-2</v>
      </c>
      <c r="K76" s="73">
        <f t="shared" si="10"/>
        <v>8.1975359245961502E-3</v>
      </c>
      <c r="M76" s="56"/>
      <c r="N76" s="57"/>
      <c r="O76" s="58" t="b">
        <f t="shared" si="11"/>
        <v>0</v>
      </c>
      <c r="T76" s="85">
        <f>$U$29-$B$38/100</f>
        <v>21.470078000000001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8.4594713994556301</v>
      </c>
      <c r="G77" s="73">
        <f t="shared" si="7"/>
        <v>1.07016711728329E-2</v>
      </c>
      <c r="H77" s="73">
        <f t="shared" si="8"/>
        <v>10.080011453498646</v>
      </c>
      <c r="I77" s="73">
        <f t="shared" si="5"/>
        <v>10.080011453498646</v>
      </c>
      <c r="J77" s="73">
        <f t="shared" si="9"/>
        <v>1.812647703133255E-2</v>
      </c>
      <c r="K77" s="73">
        <f t="shared" si="10"/>
        <v>1.3903447513498597E-2</v>
      </c>
      <c r="L77" s="16"/>
      <c r="M77" s="56"/>
      <c r="N77" s="57"/>
      <c r="O77" s="58" t="b">
        <f t="shared" si="11"/>
        <v>0</v>
      </c>
      <c r="T77" s="85">
        <f>$U$29+$B$38/100</f>
        <v>21.485922000000002</v>
      </c>
      <c r="U77" s="28">
        <f>$X$30</f>
        <v>2.7441467350142142E-2</v>
      </c>
    </row>
    <row r="78" spans="5:21" ht="15" x14ac:dyDescent="0.2">
      <c r="E78" s="72">
        <v>-2</v>
      </c>
      <c r="F78" s="73">
        <f t="shared" si="6"/>
        <v>9.122444355236345</v>
      </c>
      <c r="G78" s="73">
        <f t="shared" si="7"/>
        <v>1.6287532105923857E-2</v>
      </c>
      <c r="H78" s="73">
        <f t="shared" si="8"/>
        <v>10.479122024234563</v>
      </c>
      <c r="I78" s="73">
        <f t="shared" si="5"/>
        <v>10.479122024234563</v>
      </c>
      <c r="J78" s="73">
        <f t="shared" si="9"/>
        <v>2.6537084999400905E-2</v>
      </c>
      <c r="K78" s="73">
        <f t="shared" si="10"/>
        <v>2.2750131948179233E-2</v>
      </c>
      <c r="L78" s="16"/>
      <c r="M78" s="56"/>
      <c r="N78" s="57"/>
      <c r="O78" s="58" t="b">
        <f t="shared" si="11"/>
        <v>0</v>
      </c>
      <c r="T78" s="85">
        <f>$U$30-$B$38/100</f>
        <v>22.262278000000002</v>
      </c>
      <c r="U78" s="28">
        <f>$X$30</f>
        <v>2.7441467350142142E-2</v>
      </c>
    </row>
    <row r="79" spans="5:21" ht="15" x14ac:dyDescent="0.2">
      <c r="E79" s="72">
        <v>-1.8</v>
      </c>
      <c r="F79" s="73">
        <f t="shared" si="6"/>
        <v>9.7854173110170581</v>
      </c>
      <c r="G79" s="73">
        <f t="shared" si="7"/>
        <v>2.3817007198407604E-2</v>
      </c>
      <c r="H79" s="73">
        <f t="shared" si="8"/>
        <v>10.894035081744223</v>
      </c>
      <c r="I79" s="73">
        <f t="shared" si="5"/>
        <v>10.894035081744223</v>
      </c>
      <c r="J79" s="73">
        <f t="shared" si="9"/>
        <v>3.7326841849206094E-2</v>
      </c>
      <c r="K79" s="73">
        <f t="shared" si="10"/>
        <v>3.5930319112925713E-2</v>
      </c>
      <c r="L79" s="16"/>
      <c r="M79" s="56"/>
      <c r="N79" s="57"/>
      <c r="O79" s="58" t="b">
        <f t="shared" si="11"/>
        <v>0</v>
      </c>
      <c r="T79" s="85">
        <f>$U$30+$B$38/100</f>
        <v>22.278122000000003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10.448390266797773</v>
      </c>
      <c r="G80" s="73">
        <f t="shared" si="7"/>
        <v>3.3461646877838556E-2</v>
      </c>
      <c r="H80" s="73">
        <f t="shared" si="8"/>
        <v>11.325376313760673</v>
      </c>
      <c r="I80" s="73">
        <f t="shared" si="5"/>
        <v>11.325376313760673</v>
      </c>
      <c r="J80" s="73">
        <f t="shared" si="9"/>
        <v>5.0444927078839207E-2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23.054478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11.111363222578486</v>
      </c>
      <c r="G81" s="73">
        <f t="shared" si="7"/>
        <v>4.5168498754048436E-2</v>
      </c>
      <c r="H81" s="73">
        <f t="shared" si="8"/>
        <v>11.773796181658263</v>
      </c>
      <c r="I81" s="73">
        <f t="shared" si="5"/>
        <v>11.773796181658263</v>
      </c>
      <c r="J81" s="73">
        <f t="shared" si="9"/>
        <v>6.5500101229852392E-2</v>
      </c>
      <c r="K81" s="73">
        <f t="shared" si="10"/>
        <v>8.0756659233771164E-2</v>
      </c>
      <c r="L81" s="14"/>
      <c r="M81" s="56"/>
      <c r="N81" s="57"/>
      <c r="O81" s="58" t="b">
        <f t="shared" si="11"/>
        <v>0</v>
      </c>
      <c r="T81" s="85">
        <f>$U$31+$B$38/100</f>
        <v>23.070322000000001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11.774336178359199</v>
      </c>
      <c r="G82" s="73">
        <f t="shared" si="7"/>
        <v>5.8580385003650835E-2</v>
      </c>
      <c r="H82" s="73">
        <f t="shared" si="8"/>
        <v>12.239970901346597</v>
      </c>
      <c r="I82" s="73">
        <f t="shared" si="5"/>
        <v>12.239970901346597</v>
      </c>
      <c r="J82" s="73">
        <f t="shared" si="9"/>
        <v>8.1713660246270678E-2</v>
      </c>
      <c r="K82" s="73">
        <f t="shared" si="10"/>
        <v>0.1150696702217081</v>
      </c>
      <c r="L82" s="14"/>
      <c r="M82" s="56"/>
      <c r="N82" s="57"/>
      <c r="O82" s="58" t="b">
        <f t="shared" si="11"/>
        <v>0</v>
      </c>
      <c r="T82" s="85">
        <f>$U$32-$B$38/100</f>
        <v>23.846678000000001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12.437309134139912</v>
      </c>
      <c r="G83" s="73">
        <f t="shared" si="7"/>
        <v>7.2995654621899261E-2</v>
      </c>
      <c r="H83" s="73">
        <f t="shared" si="8"/>
        <v>12.724603463002257</v>
      </c>
      <c r="I83" s="73">
        <f t="shared" si="5"/>
        <v>12.724603463002257</v>
      </c>
      <c r="J83" s="73">
        <f t="shared" si="9"/>
        <v>9.7943490793123519E-2</v>
      </c>
      <c r="K83" s="73">
        <f t="shared" si="10"/>
        <v>0.15865525393145707</v>
      </c>
      <c r="L83" s="14"/>
      <c r="M83" s="56"/>
      <c r="N83" s="57"/>
      <c r="O83" s="58" t="b">
        <f t="shared" si="11"/>
        <v>0</v>
      </c>
      <c r="T83" s="85">
        <f>$U$32+$B$38/100</f>
        <v>23.862522000000002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13.100282089920627</v>
      </c>
      <c r="G84" s="73">
        <f t="shared" si="7"/>
        <v>8.7391665145780617E-2</v>
      </c>
      <c r="H84" s="73">
        <f t="shared" si="8"/>
        <v>13.228424691175992</v>
      </c>
      <c r="I84" s="73">
        <f t="shared" si="5"/>
        <v>13.228424691175992</v>
      </c>
      <c r="J84" s="73">
        <f t="shared" si="9"/>
        <v>0.11279366629620118</v>
      </c>
      <c r="K84" s="73">
        <f t="shared" si="10"/>
        <v>0.21185539858339636</v>
      </c>
      <c r="M84" s="56"/>
      <c r="N84" s="57"/>
      <c r="O84" s="58" t="b">
        <f t="shared" si="11"/>
        <v>0</v>
      </c>
      <c r="T84" s="85">
        <f>$U$33-$B$38/100</f>
        <v>24.638877999999998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13.763255045701341</v>
      </c>
      <c r="G85" s="73">
        <f t="shared" si="7"/>
        <v>0.10052434265569581</v>
      </c>
      <c r="H85" s="73">
        <f t="shared" si="8"/>
        <v>13.752194346874136</v>
      </c>
      <c r="I85" s="73">
        <f t="shared" si="5"/>
        <v>13.752194346874136</v>
      </c>
      <c r="J85" s="73">
        <f t="shared" si="9"/>
        <v>0.1248021505132466</v>
      </c>
      <c r="K85" s="73">
        <f t="shared" si="10"/>
        <v>0.27425311775007344</v>
      </c>
      <c r="M85" s="56"/>
      <c r="N85" s="57"/>
      <c r="O85" s="58" t="b">
        <f t="shared" si="11"/>
        <v>0</v>
      </c>
      <c r="T85" s="85">
        <f>$U$33+$B$38/100</f>
        <v>24.654722</v>
      </c>
      <c r="U85" s="28">
        <f>$X$34</f>
        <v>2.7441467350142142E-2</v>
      </c>
    </row>
    <row r="86" spans="5:21" ht="15" x14ac:dyDescent="0.2">
      <c r="E86" s="72">
        <v>-0.4</v>
      </c>
      <c r="F86" s="73">
        <f t="shared" si="6"/>
        <v>14.426228001482054</v>
      </c>
      <c r="G86" s="73">
        <f t="shared" si="7"/>
        <v>0.11109658006174633</v>
      </c>
      <c r="H86" s="73">
        <f t="shared" si="8"/>
        <v>14.296702273276059</v>
      </c>
      <c r="I86" s="73">
        <f t="shared" si="5"/>
        <v>14.296702273276059</v>
      </c>
      <c r="J86" s="73">
        <f t="shared" si="9"/>
        <v>0.13267455667810157</v>
      </c>
      <c r="K86" s="73">
        <f t="shared" si="10"/>
        <v>0.34457825838967604</v>
      </c>
      <c r="M86" s="56"/>
      <c r="N86" s="57"/>
      <c r="O86" s="58" t="b">
        <f t="shared" si="11"/>
        <v>0</v>
      </c>
      <c r="T86" s="85">
        <f>$U$34-$B$38/100</f>
        <v>25.431077999999999</v>
      </c>
      <c r="U86" s="28">
        <f>$X$34</f>
        <v>2.7441467350142142E-2</v>
      </c>
    </row>
    <row r="87" spans="5:21" ht="15" x14ac:dyDescent="0.2">
      <c r="E87" s="72">
        <v>-0.2</v>
      </c>
      <c r="F87" s="73">
        <f t="shared" si="6"/>
        <v>15.089200957262769</v>
      </c>
      <c r="G87" s="73">
        <f t="shared" si="7"/>
        <v>0.11796640890576479</v>
      </c>
      <c r="H87" s="73">
        <f t="shared" si="8"/>
        <v>14.862769586815485</v>
      </c>
      <c r="I87" s="73">
        <f t="shared" si="5"/>
        <v>14.862769586815485</v>
      </c>
      <c r="J87" s="73">
        <f t="shared" si="9"/>
        <v>0.13551315048065471</v>
      </c>
      <c r="K87" s="73">
        <f t="shared" si="10"/>
        <v>0.42074029056089662</v>
      </c>
      <c r="M87" s="56"/>
      <c r="N87" s="57"/>
      <c r="O87" s="58" t="b">
        <f t="shared" si="11"/>
        <v>0</v>
      </c>
      <c r="T87" s="85">
        <f>$U$34+$B$38/100</f>
        <v>25.446922000000001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15.752173913043482</v>
      </c>
      <c r="G88" s="73">
        <f t="shared" si="7"/>
        <v>0.12034948844380546</v>
      </c>
      <c r="H88" s="73">
        <f t="shared" si="8"/>
        <v>15.451249915421805</v>
      </c>
      <c r="I88" s="73">
        <f t="shared" si="5"/>
        <v>15.451249915421805</v>
      </c>
      <c r="J88" s="73">
        <f t="shared" si="9"/>
        <v>0.13298524563072958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26.223278000000001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16.415146868824195</v>
      </c>
      <c r="G89" s="73">
        <f t="shared" si="7"/>
        <v>0.11796640890576479</v>
      </c>
      <c r="H89" s="73">
        <f t="shared" si="8"/>
        <v>16.063030685788576</v>
      </c>
      <c r="I89" s="73">
        <f t="shared" si="5"/>
        <v>16.063030685788576</v>
      </c>
      <c r="J89" s="73">
        <f t="shared" si="9"/>
        <v>0.12538734258656167</v>
      </c>
      <c r="K89" s="73">
        <f t="shared" si="10"/>
        <v>0.57925970943910343</v>
      </c>
      <c r="M89" s="56"/>
      <c r="N89" s="57"/>
      <c r="O89" s="58" t="b">
        <f t="shared" si="11"/>
        <v>0</v>
      </c>
      <c r="T89" s="85">
        <f>$U$35+$B$38/100</f>
        <v>26.239122000000002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17.078119824604908</v>
      </c>
      <c r="G90" s="73">
        <f t="shared" si="7"/>
        <v>0.11109658006174634</v>
      </c>
      <c r="H90" s="73">
        <f t="shared" si="8"/>
        <v>16.699034461610516</v>
      </c>
      <c r="I90" s="73">
        <f t="shared" si="5"/>
        <v>16.699034461610516</v>
      </c>
      <c r="J90" s="73">
        <f t="shared" si="9"/>
        <v>0.1135879227284841</v>
      </c>
      <c r="K90" s="73">
        <f t="shared" si="10"/>
        <v>0.65542174161032396</v>
      </c>
      <c r="M90" s="56"/>
      <c r="N90" s="57"/>
      <c r="O90" s="58" t="b">
        <f t="shared" si="11"/>
        <v>0</v>
      </c>
      <c r="T90" s="85">
        <f>$U$36-$B$38/100</f>
        <v>27.015478000000002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17.741092780385621</v>
      </c>
      <c r="G91" s="73">
        <f t="shared" si="7"/>
        <v>0.10052434265569583</v>
      </c>
      <c r="H91" s="73">
        <f t="shared" si="8"/>
        <v>17.360220334807003</v>
      </c>
      <c r="I91" s="73">
        <f t="shared" si="5"/>
        <v>17.360220334807003</v>
      </c>
      <c r="J91" s="73">
        <f t="shared" si="9"/>
        <v>9.8864150089434069E-2</v>
      </c>
      <c r="K91" s="73">
        <f t="shared" si="10"/>
        <v>0.72574688224992656</v>
      </c>
      <c r="M91" s="56"/>
      <c r="N91" s="57"/>
      <c r="O91" s="58" t="b">
        <f t="shared" si="11"/>
        <v>0</v>
      </c>
      <c r="T91" s="85">
        <f>$U$36+$B$38/100</f>
        <v>27.031322000000003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18.40406573616637</v>
      </c>
      <c r="G92" s="73">
        <f t="shared" si="7"/>
        <v>8.7391665145779909E-2</v>
      </c>
      <c r="H92" s="73">
        <f t="shared" si="8"/>
        <v>18.04758537183001</v>
      </c>
      <c r="I92" s="73">
        <f t="shared" si="5"/>
        <v>18.04758537183001</v>
      </c>
      <c r="J92" s="73">
        <f t="shared" si="9"/>
        <v>8.2674911324695732E-2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27.807678000000003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19.067038691947083</v>
      </c>
      <c r="G93" s="73">
        <f t="shared" si="7"/>
        <v>7.299565462189854E-2</v>
      </c>
      <c r="H93" s="73">
        <f t="shared" si="8"/>
        <v>18.762166117237406</v>
      </c>
      <c r="I93" s="73">
        <f t="shared" si="5"/>
        <v>18.762166117237406</v>
      </c>
      <c r="J93" s="73">
        <f t="shared" si="9"/>
        <v>6.6425810023059598E-2</v>
      </c>
      <c r="K93" s="73">
        <f t="shared" si="10"/>
        <v>0.84134474606854515</v>
      </c>
      <c r="M93" s="56"/>
      <c r="N93" s="57"/>
      <c r="O93" s="58" t="b">
        <f t="shared" si="11"/>
        <v>0</v>
      </c>
      <c r="T93" s="85">
        <f>$U$37+$B$38/100</f>
        <v>27.823522000000004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19.730011647727796</v>
      </c>
      <c r="G94" s="73">
        <f t="shared" si="7"/>
        <v>5.8580385003650155E-2</v>
      </c>
      <c r="H94" s="73">
        <f t="shared" si="8"/>
        <v>19.505040156799499</v>
      </c>
      <c r="I94" s="73">
        <f t="shared" si="5"/>
        <v>19.505040156799499</v>
      </c>
      <c r="J94" s="73">
        <f t="shared" si="9"/>
        <v>5.1277660318387076E-2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28.599878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20.392984603508509</v>
      </c>
      <c r="G95" s="73">
        <f t="shared" si="7"/>
        <v>4.5168498754047826E-2</v>
      </c>
      <c r="H95" s="73">
        <f t="shared" si="8"/>
        <v>20.277327742495174</v>
      </c>
      <c r="I95" s="73">
        <f t="shared" si="5"/>
        <v>20.277327742495174</v>
      </c>
      <c r="J95" s="73">
        <f t="shared" si="9"/>
        <v>3.8031877353448415E-2</v>
      </c>
      <c r="K95" s="73">
        <f t="shared" si="10"/>
        <v>0.9192433407662306</v>
      </c>
      <c r="M95" s="56"/>
      <c r="N95" s="57"/>
      <c r="O95" s="58" t="b">
        <f t="shared" si="11"/>
        <v>0</v>
      </c>
      <c r="T95" s="85">
        <f>$U$38+$B$38/100</f>
        <v>28.615722000000002</v>
      </c>
      <c r="U95" s="28">
        <f>$X$39</f>
        <v>2.7441467350142142E-2</v>
      </c>
    </row>
    <row r="96" spans="5:21" ht="15" x14ac:dyDescent="0.2">
      <c r="E96" s="72">
        <v>1.6000000000000101</v>
      </c>
      <c r="F96" s="73">
        <f t="shared" si="6"/>
        <v>21.055957559289226</v>
      </c>
      <c r="G96" s="73">
        <f t="shared" si="7"/>
        <v>3.3461646877837981E-2</v>
      </c>
      <c r="H96" s="73">
        <f t="shared" si="8"/>
        <v>21.080193481848816</v>
      </c>
      <c r="I96" s="73">
        <f t="shared" si="5"/>
        <v>21.080193481848816</v>
      </c>
      <c r="J96" s="73">
        <f t="shared" si="9"/>
        <v>2.7101638454124635E-2</v>
      </c>
      <c r="K96" s="73">
        <f t="shared" si="10"/>
        <v>0.945200708300443</v>
      </c>
      <c r="M96" s="56"/>
      <c r="N96" s="57"/>
      <c r="O96" s="58" t="b">
        <f t="shared" si="11"/>
        <v>0</v>
      </c>
      <c r="T96" s="85">
        <f>$U$39-$B$38/100</f>
        <v>29.392078000000001</v>
      </c>
      <c r="U96" s="28">
        <f>$X$39</f>
        <v>2.7441467350142142E-2</v>
      </c>
    </row>
    <row r="97" spans="5:21" ht="15" x14ac:dyDescent="0.2">
      <c r="E97" s="72">
        <v>1.80000000000001</v>
      </c>
      <c r="F97" s="73">
        <f t="shared" si="6"/>
        <v>21.718930515069939</v>
      </c>
      <c r="G97" s="73">
        <f t="shared" si="7"/>
        <v>2.3817007198407177E-2</v>
      </c>
      <c r="H97" s="73">
        <f t="shared" si="8"/>
        <v>21.914848094155243</v>
      </c>
      <c r="I97" s="73">
        <f t="shared" si="5"/>
        <v>21.914848094155243</v>
      </c>
      <c r="J97" s="73">
        <f t="shared" si="9"/>
        <v>1.8555452579405055E-2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29.407922000000003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22.381903470850652</v>
      </c>
      <c r="G98" s="73">
        <f t="shared" si="7"/>
        <v>1.6287532105923524E-2</v>
      </c>
      <c r="H98" s="73">
        <f t="shared" si="8"/>
        <v>22.782550236240947</v>
      </c>
      <c r="I98" s="73">
        <f t="shared" si="5"/>
        <v>22.782550236240947</v>
      </c>
      <c r="J98" s="73">
        <f t="shared" si="9"/>
        <v>1.2206067757675384E-2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23.044876426631365</v>
      </c>
      <c r="G99" s="73">
        <f t="shared" si="7"/>
        <v>1.0701671172832671E-2</v>
      </c>
      <c r="H99" s="73">
        <f t="shared" si="8"/>
        <v>23.684608400515128</v>
      </c>
      <c r="I99" s="73">
        <f t="shared" si="5"/>
        <v>23.684608400515128</v>
      </c>
      <c r="J99" s="73">
        <f t="shared" si="9"/>
        <v>7.7145077933158772E-3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23.707849382412078</v>
      </c>
      <c r="G100" s="73">
        <f t="shared" si="7"/>
        <v>6.7557899910021778E-3</v>
      </c>
      <c r="H100" s="73">
        <f t="shared" si="8"/>
        <v>24.622382888172613</v>
      </c>
      <c r="I100" s="73">
        <f t="shared" si="5"/>
        <v>24.622382888172613</v>
      </c>
      <c r="J100" s="73">
        <f t="shared" si="9"/>
        <v>4.6845608920578208E-3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24.370822338192792</v>
      </c>
      <c r="G101" s="73">
        <f t="shared" si="7"/>
        <v>4.0975937601225483E-3</v>
      </c>
      <c r="H101" s="73">
        <f t="shared" si="8"/>
        <v>25.597287860524204</v>
      </c>
      <c r="I101" s="73">
        <f t="shared" si="5"/>
        <v>25.597287860524204</v>
      </c>
      <c r="J101" s="73">
        <f t="shared" si="9"/>
        <v>2.7331141812105453E-3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25.033795293973505</v>
      </c>
      <c r="G102" s="73">
        <f t="shared" si="7"/>
        <v>2.3878656026499762E-3</v>
      </c>
      <c r="H102" s="73">
        <f t="shared" si="8"/>
        <v>26.610793471548025</v>
      </c>
      <c r="I102" s="73">
        <f t="shared" si="5"/>
        <v>26.610793471548025</v>
      </c>
      <c r="J102" s="73">
        <f t="shared" si="9"/>
        <v>1.5320568586242647E-3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25.696768249754221</v>
      </c>
      <c r="G103" s="73">
        <f t="shared" si="7"/>
        <v>1.3369620505014244E-3</v>
      </c>
      <c r="H103" s="73">
        <f t="shared" si="8"/>
        <v>27.664428084877638</v>
      </c>
      <c r="I103" s="73">
        <f t="shared" si="5"/>
        <v>27.664428084877638</v>
      </c>
      <c r="J103" s="73">
        <f t="shared" si="9"/>
        <v>8.2512588570598112E-4</v>
      </c>
      <c r="K103" s="73">
        <f t="shared" si="10"/>
        <v>0.99865010196837001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26.359741205534931</v>
      </c>
      <c r="G104" s="73">
        <f t="shared" si="7"/>
        <v>7.1921129834241336E-4</v>
      </c>
      <c r="H104" s="73">
        <f t="shared" si="8"/>
        <v>28.75978057857008</v>
      </c>
      <c r="I104" s="73">
        <f t="shared" si="5"/>
        <v>28.75978057857008</v>
      </c>
      <c r="J104" s="73">
        <f t="shared" si="9"/>
        <v>4.2696646048115861E-4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27.022714161315648</v>
      </c>
      <c r="G105" s="73">
        <f t="shared" si="7"/>
        <v>3.7172531932978234E-4</v>
      </c>
      <c r="H105" s="73">
        <f t="shared" si="8"/>
        <v>29.898502741129612</v>
      </c>
      <c r="I105" s="73">
        <f t="shared" si="5"/>
        <v>29.898502741129612</v>
      </c>
      <c r="J105" s="73">
        <f t="shared" si="9"/>
        <v>2.1227337805709314E-4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27.685687117096361</v>
      </c>
      <c r="G106" s="73">
        <f t="shared" si="7"/>
        <v>1.8459333062633844E-4</v>
      </c>
      <c r="H106" s="73">
        <f t="shared" si="8"/>
        <v>31.082311762400092</v>
      </c>
      <c r="I106" s="73">
        <f t="shared" si="5"/>
        <v>31.082311762400092</v>
      </c>
      <c r="J106" s="73">
        <f t="shared" si="9"/>
        <v>1.0139709713891144E-4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28.348660072877074</v>
      </c>
      <c r="G107" s="73">
        <f t="shared" si="7"/>
        <v>8.807204675420113E-5</v>
      </c>
      <c r="H107" s="73">
        <f t="shared" si="8"/>
        <v>32.312992823082567</v>
      </c>
      <c r="I107" s="73">
        <f t="shared" si="5"/>
        <v>32.312992823082567</v>
      </c>
      <c r="J107" s="73">
        <f t="shared" si="9"/>
        <v>4.6535430223677139E-5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29.011633028657787</v>
      </c>
      <c r="G108" s="73">
        <f t="shared" si="7"/>
        <v>4.037275566008038E-5</v>
      </c>
      <c r="H108" s="73">
        <f t="shared" si="8"/>
        <v>33.592401786782688</v>
      </c>
      <c r="I108" s="73">
        <f t="shared" si="5"/>
        <v>33.592401786782688</v>
      </c>
      <c r="J108" s="73">
        <f t="shared" si="9"/>
        <v>2.0519660238565119E-5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29.6746059844385</v>
      </c>
      <c r="G109" s="73">
        <f t="shared" si="7"/>
        <v>1.7781439572335672E-5</v>
      </c>
      <c r="H109" s="73">
        <f t="shared" si="8"/>
        <v>34.922467998647896</v>
      </c>
      <c r="I109" s="73">
        <f t="shared" si="5"/>
        <v>34.922467998647896</v>
      </c>
      <c r="J109" s="73">
        <f t="shared" si="9"/>
        <v>8.6933030287108358E-6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30.337578940219217</v>
      </c>
      <c r="G110" s="73">
        <f t="shared" si="7"/>
        <v>7.5244309960367347E-6</v>
      </c>
      <c r="H110" s="73">
        <f t="shared" si="8"/>
        <v>36.305197194814582</v>
      </c>
      <c r="I110" s="73">
        <f t="shared" si="5"/>
        <v>36.305197194814582</v>
      </c>
      <c r="J110" s="73">
        <f t="shared" si="9"/>
        <v>3.5385691915209749E-6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31.00055189599993</v>
      </c>
      <c r="G111" s="73">
        <f t="shared" si="7"/>
        <v>3.0592053498002607E-6</v>
      </c>
      <c r="H111" s="73">
        <f t="shared" si="8"/>
        <v>37.742674527052458</v>
      </c>
      <c r="I111" s="73">
        <f t="shared" si="5"/>
        <v>37.742674527052458</v>
      </c>
      <c r="J111" s="73">
        <f t="shared" si="9"/>
        <v>1.3838811262764744E-6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31.663524851780643</v>
      </c>
      <c r="G112" s="73">
        <f t="shared" si="7"/>
        <v>1.1950107637096797E-6</v>
      </c>
      <c r="H112" s="73">
        <f t="shared" si="8"/>
        <v>39.237067707167675</v>
      </c>
      <c r="I112" s="73">
        <f t="shared" si="5"/>
        <v>39.237067707167675</v>
      </c>
      <c r="J112" s="73">
        <f t="shared" si="9"/>
        <v>5.1999372328788627E-7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32.326497807561324</v>
      </c>
      <c r="G113" s="73">
        <f t="shared" si="7"/>
        <v>4.4850080286715291E-7</v>
      </c>
      <c r="H113" s="73">
        <f t="shared" si="8"/>
        <v>40.790630275906146</v>
      </c>
      <c r="I113" s="73">
        <f t="shared" si="5"/>
        <v>40.790630275906146</v>
      </c>
      <c r="J113" s="73">
        <f t="shared" si="9"/>
        <v>1.8772652334741886E-7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-0.64594609387390911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66.475903575344901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-1.2586098896498693E-3</v>
      </c>
      <c r="H120" s="69" t="s">
        <v>50</v>
      </c>
      <c r="I120" s="79">
        <f>IF($B$9&gt;3,INDEX(XX!$C$4:$C$150,$B$9))</f>
        <v>0.28160000000000002</v>
      </c>
      <c r="J120" s="79">
        <f>IF($B$9&gt;3,INDEX(XX!$D$4:$D$150,$B$9))</f>
        <v>0.36459999999999998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10.1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66.463191615459436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42696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12.738295726854076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3" sqref="M3:N48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54" t="s">
        <v>125</v>
      </c>
      <c r="B1" s="155"/>
      <c r="C1" s="155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6"/>
      <c r="B2" s="155"/>
      <c r="C2" s="155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36769</v>
      </c>
      <c r="N3" s="57">
        <v>140</v>
      </c>
      <c r="O3" s="58">
        <f t="shared" ref="O3:O66" si="0">IF($N3&gt;0,LN($N3+$B$26))</f>
        <v>4.9416424226093039</v>
      </c>
      <c r="T3" s="69" t="s">
        <v>109</v>
      </c>
      <c r="U3" s="82">
        <f>$B$21</f>
        <v>132.29051231477763</v>
      </c>
      <c r="V3" s="82">
        <f t="shared" ref="V3:V10" si="1">U3</f>
        <v>132.29051231477763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36895</v>
      </c>
      <c r="N4" s="57">
        <v>92</v>
      </c>
      <c r="O4" s="58">
        <f t="shared" si="0"/>
        <v>4.5217885770490405</v>
      </c>
      <c r="T4" s="69" t="s">
        <v>111</v>
      </c>
      <c r="U4" s="82">
        <f>$B$31</f>
        <v>131.58609714539944</v>
      </c>
      <c r="V4" s="82">
        <f t="shared" si="1"/>
        <v>131.58609714539944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37333</v>
      </c>
      <c r="N5" s="57">
        <v>48</v>
      </c>
      <c r="O5" s="58">
        <f t="shared" si="0"/>
        <v>3.8712010109078911</v>
      </c>
      <c r="T5" s="69" t="s">
        <v>110</v>
      </c>
      <c r="U5" s="82">
        <f>$B$22</f>
        <v>138.73674229261013</v>
      </c>
      <c r="V5" s="82">
        <f t="shared" si="1"/>
        <v>138.73674229261013</v>
      </c>
    </row>
    <row r="6" spans="1:24" ht="15" customHeight="1" x14ac:dyDescent="0.2">
      <c r="A6" s="107" t="s">
        <v>18</v>
      </c>
      <c r="B6" s="95" t="s">
        <v>93</v>
      </c>
      <c r="C6" s="18"/>
      <c r="M6" s="56">
        <v>37540</v>
      </c>
      <c r="N6" s="57">
        <v>97</v>
      </c>
      <c r="O6" s="58">
        <f t="shared" si="0"/>
        <v>4.5747109785033828</v>
      </c>
      <c r="T6" s="69" t="s">
        <v>29</v>
      </c>
      <c r="U6" s="82">
        <f>$B$32</f>
        <v>142.25403086136114</v>
      </c>
      <c r="V6" s="82">
        <f t="shared" si="1"/>
        <v>142.25403086136114</v>
      </c>
    </row>
    <row r="7" spans="1:24" ht="15" customHeight="1" x14ac:dyDescent="0.2">
      <c r="D7" s="4"/>
      <c r="F7" s="5"/>
      <c r="M7" s="56">
        <v>37677</v>
      </c>
      <c r="N7" s="57">
        <v>73</v>
      </c>
      <c r="O7" s="58">
        <f t="shared" si="0"/>
        <v>4.290459441148391</v>
      </c>
      <c r="T7" s="69" t="s">
        <v>31</v>
      </c>
      <c r="U7" s="82">
        <f>$C$21</f>
        <v>63.322531163483248</v>
      </c>
      <c r="V7" s="82">
        <f t="shared" si="1"/>
        <v>63.322531163483248</v>
      </c>
    </row>
    <row r="8" spans="1:24" ht="15" customHeight="1" x14ac:dyDescent="0.25">
      <c r="A8" s="140" t="s">
        <v>12</v>
      </c>
      <c r="B8" s="140"/>
      <c r="C8" s="140"/>
      <c r="D8" s="4"/>
      <c r="M8" s="56">
        <v>37852</v>
      </c>
      <c r="N8" s="57">
        <v>120</v>
      </c>
      <c r="O8" s="58">
        <f t="shared" si="0"/>
        <v>4.7874917427820458</v>
      </c>
      <c r="T8" s="69" t="s">
        <v>32</v>
      </c>
      <c r="U8" s="82">
        <f>$C$31</f>
        <v>4.1924279749228628</v>
      </c>
      <c r="V8" s="82">
        <f t="shared" si="1"/>
        <v>4.1924279749228628</v>
      </c>
    </row>
    <row r="9" spans="1:24" ht="15" customHeight="1" x14ac:dyDescent="0.2">
      <c r="A9" s="101" t="s">
        <v>11</v>
      </c>
      <c r="B9" s="59">
        <f>COUNT($M$3:$M252)</f>
        <v>46</v>
      </c>
      <c r="C9" s="60"/>
      <c r="D9" s="4"/>
      <c r="M9" s="56">
        <v>38055</v>
      </c>
      <c r="N9" s="57">
        <v>78</v>
      </c>
      <c r="O9" s="58">
        <f t="shared" si="0"/>
        <v>4.3567088266895917</v>
      </c>
      <c r="T9" s="69" t="s">
        <v>112</v>
      </c>
      <c r="U9" s="82">
        <f>$C$22</f>
        <v>56.876301185650767</v>
      </c>
      <c r="V9" s="82">
        <f t="shared" si="1"/>
        <v>56.876301185650767</v>
      </c>
    </row>
    <row r="10" spans="1:24" ht="15" customHeight="1" x14ac:dyDescent="0.2">
      <c r="A10" s="102" t="s">
        <v>7</v>
      </c>
      <c r="B10" s="61">
        <f>MIN($N$3:$N$252)</f>
        <v>48</v>
      </c>
      <c r="C10" s="60"/>
      <c r="D10" s="4"/>
      <c r="M10" s="56">
        <v>38264</v>
      </c>
      <c r="N10" s="57">
        <v>106</v>
      </c>
      <c r="O10" s="58">
        <f t="shared" si="0"/>
        <v>4.6634390941120669</v>
      </c>
      <c r="T10" s="69" t="s">
        <v>113</v>
      </c>
      <c r="U10" s="82">
        <f>$C$32</f>
        <v>4.1225794358628649</v>
      </c>
      <c r="V10" s="82">
        <f t="shared" si="1"/>
        <v>4.1225794358628649</v>
      </c>
    </row>
    <row r="11" spans="1:24" ht="15" customHeight="1" x14ac:dyDescent="0.2">
      <c r="A11" s="102" t="s">
        <v>8</v>
      </c>
      <c r="B11" s="61">
        <f>MAX($N$3:$N$252)</f>
        <v>140</v>
      </c>
      <c r="C11" s="60"/>
      <c r="D11" s="4"/>
      <c r="M11" s="56">
        <v>38421</v>
      </c>
      <c r="N11" s="57">
        <v>66</v>
      </c>
      <c r="O11" s="58">
        <f t="shared" si="0"/>
        <v>4.1896547420264252</v>
      </c>
      <c r="T11" s="69" t="s">
        <v>68</v>
      </c>
      <c r="U11" s="82">
        <f>$B$12</f>
        <v>97.5</v>
      </c>
      <c r="V11" s="82">
        <f>U11</f>
        <v>97.5</v>
      </c>
    </row>
    <row r="12" spans="1:24" ht="15" customHeight="1" x14ac:dyDescent="0.2">
      <c r="A12" s="102" t="s">
        <v>68</v>
      </c>
      <c r="B12" s="62">
        <f>MEDIAN($N$3:$N$252)</f>
        <v>97.5</v>
      </c>
      <c r="C12" s="50"/>
      <c r="D12" s="4"/>
      <c r="M12" s="56">
        <v>38631</v>
      </c>
      <c r="N12" s="57">
        <v>92</v>
      </c>
      <c r="O12" s="58">
        <f t="shared" si="0"/>
        <v>4.5217885770490405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38747</v>
      </c>
      <c r="N13" s="57">
        <v>91</v>
      </c>
      <c r="O13" s="58">
        <f t="shared" si="0"/>
        <v>4.5108595065168497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38944</v>
      </c>
      <c r="N14" s="57">
        <v>88</v>
      </c>
      <c r="O14" s="58">
        <f t="shared" si="0"/>
        <v>4.4773368144782069</v>
      </c>
      <c r="T14" s="11"/>
      <c r="U14" s="77">
        <f>$B$36</f>
        <v>45.599999999999994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39115</v>
      </c>
      <c r="N15" s="57">
        <v>79</v>
      </c>
      <c r="O15" s="58">
        <f t="shared" si="0"/>
        <v>4.3694478524670215</v>
      </c>
      <c r="T15" s="69">
        <v>1</v>
      </c>
      <c r="U15" s="77">
        <f t="shared" ref="U15:U39" si="3">$B$36+T15*$B$38</f>
        <v>49.655999999999992</v>
      </c>
      <c r="V15" s="84">
        <f>FREQUENCY($N$3:$N$252,$U$15:$U$39)</f>
        <v>1</v>
      </c>
      <c r="W15" s="79">
        <f t="shared" ref="W15:W39" si="4">(U15+U14)/2</f>
        <v>47.627999999999993</v>
      </c>
      <c r="X15" s="80">
        <f t="shared" si="2"/>
        <v>5.3597461624217482E-3</v>
      </c>
    </row>
    <row r="16" spans="1:24" ht="15" customHeight="1" x14ac:dyDescent="0.2">
      <c r="A16" s="101" t="s">
        <v>73</v>
      </c>
      <c r="B16" s="63">
        <f>AVERAGE($N$3:$N$252)</f>
        <v>97.806521739130446</v>
      </c>
      <c r="C16" s="60"/>
      <c r="M16" s="56">
        <v>39318</v>
      </c>
      <c r="N16" s="57">
        <v>94</v>
      </c>
      <c r="O16" s="58">
        <f t="shared" si="0"/>
        <v>4.5432947822700038</v>
      </c>
      <c r="T16" s="69">
        <v>2</v>
      </c>
      <c r="U16" s="77">
        <f t="shared" si="3"/>
        <v>53.711999999999996</v>
      </c>
      <c r="V16" s="84">
        <f t="array" ref="V16:V40">FREQUENCY($N$3:$N$252,$U$15:$U$39)</f>
        <v>1</v>
      </c>
      <c r="W16" s="79">
        <f t="shared" si="4"/>
        <v>51.683999999999997</v>
      </c>
      <c r="X16" s="80">
        <f t="shared" si="2"/>
        <v>5.3597461624217482E-3</v>
      </c>
    </row>
    <row r="17" spans="1:24" ht="15" customHeight="1" x14ac:dyDescent="0.2">
      <c r="A17" s="102" t="s">
        <v>75</v>
      </c>
      <c r="B17" s="62">
        <f>STDEV($N$3:$N$252)</f>
        <v>17.594196040158145</v>
      </c>
      <c r="C17" s="60"/>
      <c r="D17" s="4"/>
      <c r="M17" s="56">
        <v>39492</v>
      </c>
      <c r="N17" s="57">
        <v>89</v>
      </c>
      <c r="O17" s="58">
        <f t="shared" si="0"/>
        <v>4.4886363697321396</v>
      </c>
      <c r="T17" s="69">
        <v>3</v>
      </c>
      <c r="U17" s="77">
        <f t="shared" si="3"/>
        <v>57.767999999999994</v>
      </c>
      <c r="V17" s="84">
        <v>0</v>
      </c>
      <c r="W17" s="79">
        <f t="shared" si="4"/>
        <v>55.739999999999995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1.8258632901345776E-2</v>
      </c>
      <c r="C18" s="114" t="s">
        <v>45</v>
      </c>
      <c r="D18" s="4"/>
      <c r="J18" s="6"/>
      <c r="M18" s="56">
        <v>39723</v>
      </c>
      <c r="N18" s="57">
        <v>91</v>
      </c>
      <c r="O18" s="58">
        <f t="shared" si="0"/>
        <v>4.5108595065168497</v>
      </c>
      <c r="T18" s="69">
        <v>4</v>
      </c>
      <c r="U18" s="77">
        <f t="shared" si="3"/>
        <v>61.823999999999998</v>
      </c>
      <c r="V18" s="84">
        <v>0</v>
      </c>
      <c r="W18" s="79">
        <f t="shared" si="4"/>
        <v>59.795999999999992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39842</v>
      </c>
      <c r="N19" s="57">
        <v>83</v>
      </c>
      <c r="O19" s="58">
        <f t="shared" si="0"/>
        <v>4.4188406077965983</v>
      </c>
      <c r="T19" s="69">
        <v>5</v>
      </c>
      <c r="U19" s="77">
        <f t="shared" si="3"/>
        <v>65.88</v>
      </c>
      <c r="V19" s="84">
        <v>0</v>
      </c>
      <c r="W19" s="79">
        <f t="shared" si="4"/>
        <v>63.851999999999997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40024</v>
      </c>
      <c r="N20" s="57">
        <v>81</v>
      </c>
      <c r="O20" s="58">
        <f t="shared" si="0"/>
        <v>4.3944491546724391</v>
      </c>
      <c r="T20" s="69">
        <v>6</v>
      </c>
      <c r="U20" s="77">
        <f t="shared" si="3"/>
        <v>69.935999999999993</v>
      </c>
      <c r="V20" s="84">
        <v>0</v>
      </c>
      <c r="W20" s="79">
        <f t="shared" si="4"/>
        <v>67.907999999999987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132.29051231477763</v>
      </c>
      <c r="C21" s="62">
        <f>NORMINV(0.025,$B$16,$B$17)</f>
        <v>63.322531163483248</v>
      </c>
      <c r="D21" s="4"/>
      <c r="M21" s="56">
        <v>40198</v>
      </c>
      <c r="N21" s="57">
        <v>87</v>
      </c>
      <c r="O21" s="58">
        <f t="shared" si="0"/>
        <v>4.4659081186545837</v>
      </c>
      <c r="T21" s="69">
        <v>7</v>
      </c>
      <c r="U21" s="77">
        <f t="shared" si="3"/>
        <v>73.99199999999999</v>
      </c>
      <c r="V21" s="84">
        <v>1</v>
      </c>
      <c r="W21" s="79">
        <f t="shared" si="4"/>
        <v>71.963999999999999</v>
      </c>
      <c r="X21" s="80">
        <f t="shared" si="2"/>
        <v>5.3597461624217482E-3</v>
      </c>
    </row>
    <row r="22" spans="1:24" ht="15" customHeight="1" x14ac:dyDescent="0.2">
      <c r="A22" s="104" t="s">
        <v>77</v>
      </c>
      <c r="B22" s="62">
        <f>NORMINV(0.99,$B$16,$B$17)</f>
        <v>138.73674229261013</v>
      </c>
      <c r="C22" s="62">
        <f>NORMINV(0.01,B16,B17)</f>
        <v>56.876301185650767</v>
      </c>
      <c r="M22" s="56">
        <v>40329</v>
      </c>
      <c r="N22" s="57">
        <v>106</v>
      </c>
      <c r="O22" s="58">
        <f t="shared" si="0"/>
        <v>4.6634390941120669</v>
      </c>
      <c r="T22" s="69">
        <v>8</v>
      </c>
      <c r="U22" s="77">
        <f t="shared" si="3"/>
        <v>78.048000000000002</v>
      </c>
      <c r="V22" s="84">
        <v>1</v>
      </c>
      <c r="W22" s="79">
        <f t="shared" si="4"/>
        <v>76.02</v>
      </c>
      <c r="X22" s="80">
        <f t="shared" si="2"/>
        <v>5.3597461624217482E-3</v>
      </c>
    </row>
    <row r="23" spans="1:24" ht="15" customHeight="1" x14ac:dyDescent="0.25">
      <c r="E23" s="144" t="s">
        <v>80</v>
      </c>
      <c r="F23" s="144"/>
      <c r="G23" s="144"/>
      <c r="M23" s="56">
        <v>40409</v>
      </c>
      <c r="N23" s="57">
        <v>82</v>
      </c>
      <c r="O23" s="58">
        <f t="shared" si="0"/>
        <v>4.4067192472642533</v>
      </c>
      <c r="T23" s="69">
        <v>9</v>
      </c>
      <c r="U23" s="77">
        <f t="shared" si="3"/>
        <v>82.103999999999985</v>
      </c>
      <c r="V23" s="84">
        <v>1</v>
      </c>
      <c r="W23" s="79">
        <f t="shared" si="4"/>
        <v>80.075999999999993</v>
      </c>
      <c r="X23" s="80">
        <f t="shared" si="2"/>
        <v>5.3597461624217482E-3</v>
      </c>
    </row>
    <row r="24" spans="1:24" ht="15" customHeight="1" x14ac:dyDescent="0.2">
      <c r="M24" s="56">
        <v>40487</v>
      </c>
      <c r="N24" s="57">
        <v>133</v>
      </c>
      <c r="O24" s="58">
        <f t="shared" si="0"/>
        <v>4.8903491282217537</v>
      </c>
      <c r="T24" s="69">
        <v>10</v>
      </c>
      <c r="U24" s="77">
        <f t="shared" si="3"/>
        <v>86.16</v>
      </c>
      <c r="V24" s="84">
        <v>4</v>
      </c>
      <c r="W24" s="79">
        <f t="shared" si="4"/>
        <v>84.131999999999991</v>
      </c>
      <c r="X24" s="80">
        <f t="shared" si="2"/>
        <v>2.1438984649686993E-2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40639</v>
      </c>
      <c r="N25" s="57">
        <v>104</v>
      </c>
      <c r="O25" s="58">
        <f t="shared" si="0"/>
        <v>4.6443908991413725</v>
      </c>
      <c r="Q25" s="75" t="s">
        <v>68</v>
      </c>
      <c r="R25" s="75">
        <f>MEDIAN($O$3:$O$252)</f>
        <v>4.5798392285869776</v>
      </c>
      <c r="T25" s="69">
        <v>11</v>
      </c>
      <c r="U25" s="77">
        <f t="shared" si="3"/>
        <v>90.215999999999994</v>
      </c>
      <c r="V25" s="84">
        <v>3</v>
      </c>
      <c r="W25" s="79">
        <f t="shared" si="4"/>
        <v>88.187999999999988</v>
      </c>
      <c r="X25" s="80">
        <f t="shared" si="2"/>
        <v>1.6079238487265245E-2</v>
      </c>
    </row>
    <row r="26" spans="1:24" ht="15" customHeight="1" x14ac:dyDescent="0.2">
      <c r="A26" s="86" t="s">
        <v>36</v>
      </c>
      <c r="B26" s="134">
        <v>0</v>
      </c>
      <c r="C26" s="62"/>
      <c r="E26" s="7" t="e">
        <f>AVERAGE(C50:C199)</f>
        <v>#DIV/0!</v>
      </c>
      <c r="M26" s="56">
        <v>40744</v>
      </c>
      <c r="N26" s="57">
        <v>107</v>
      </c>
      <c r="O26" s="58">
        <f t="shared" si="0"/>
        <v>4.6728288344619058</v>
      </c>
      <c r="Q26" s="75" t="s">
        <v>73</v>
      </c>
      <c r="R26" s="75">
        <f>AVERAGE($O$3:$O$252)</f>
        <v>4.5660814702140158</v>
      </c>
      <c r="T26" s="69">
        <v>12</v>
      </c>
      <c r="U26" s="77">
        <f t="shared" si="3"/>
        <v>94.271999999999991</v>
      </c>
      <c r="V26" s="84">
        <v>3</v>
      </c>
      <c r="W26" s="79">
        <f t="shared" si="4"/>
        <v>92.244</v>
      </c>
      <c r="X26" s="80">
        <f t="shared" si="2"/>
        <v>1.6079238487265245E-2</v>
      </c>
    </row>
    <row r="27" spans="1:24" ht="15" customHeight="1" x14ac:dyDescent="0.2">
      <c r="A27" s="65" t="s">
        <v>17</v>
      </c>
      <c r="B27" s="62">
        <f>EXP($R$26)</f>
        <v>96.166539047234906</v>
      </c>
      <c r="C27" s="62"/>
      <c r="E27" s="7" t="e">
        <f>STDEV(C50:C199)</f>
        <v>#DIV/0!</v>
      </c>
      <c r="F27" s="7" t="e">
        <f>NORMINV(0.025,$E26,$E27)</f>
        <v>#DIV/0!</v>
      </c>
      <c r="M27" s="56">
        <v>40799</v>
      </c>
      <c r="N27" s="57">
        <v>98</v>
      </c>
      <c r="O27" s="58">
        <f t="shared" si="0"/>
        <v>4.5849674786705723</v>
      </c>
      <c r="Q27" s="75" t="s">
        <v>104</v>
      </c>
      <c r="R27" s="75">
        <f>STDEV($O$3:$O$252)</f>
        <v>0.19064304152447889</v>
      </c>
      <c r="T27" s="69">
        <v>13</v>
      </c>
      <c r="U27" s="77">
        <f t="shared" si="3"/>
        <v>98.328000000000003</v>
      </c>
      <c r="V27" s="84">
        <v>7</v>
      </c>
      <c r="W27" s="79">
        <f t="shared" si="4"/>
        <v>96.3</v>
      </c>
      <c r="X27" s="80">
        <f t="shared" si="2"/>
        <v>3.7518223136952231E-2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-7.5631571128844874E-2</v>
      </c>
      <c r="C28" s="115" t="s">
        <v>45</v>
      </c>
      <c r="F28" s="7" t="e">
        <f>NORMINV(0.01,$E$26,$E$27)</f>
        <v>#DIV/0!</v>
      </c>
      <c r="M28" s="56">
        <v>40898</v>
      </c>
      <c r="N28" s="57">
        <v>110</v>
      </c>
      <c r="O28" s="58">
        <f t="shared" si="0"/>
        <v>4.7004803657924166</v>
      </c>
      <c r="Q28" s="75" t="s">
        <v>108</v>
      </c>
      <c r="R28" s="75">
        <f>NORMINV(0.025,$R$26,$R$27)</f>
        <v>4.1924279749228628</v>
      </c>
      <c r="T28" s="69">
        <v>14</v>
      </c>
      <c r="U28" s="77">
        <f t="shared" si="3"/>
        <v>102.38399999999999</v>
      </c>
      <c r="V28" s="84">
        <v>3</v>
      </c>
      <c r="W28" s="79">
        <f t="shared" si="4"/>
        <v>100.35599999999999</v>
      </c>
      <c r="X28" s="80">
        <f t="shared" si="2"/>
        <v>1.6079238487265245E-2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40977</v>
      </c>
      <c r="N29" s="57">
        <v>101</v>
      </c>
      <c r="O29" s="58">
        <f t="shared" si="0"/>
        <v>4.6151205168412597</v>
      </c>
      <c r="Q29" s="75" t="s">
        <v>107</v>
      </c>
      <c r="R29" s="75">
        <f>NORMINV(0.01,$R$26,$R$27)</f>
        <v>4.1225794358628649</v>
      </c>
      <c r="T29" s="69">
        <v>15</v>
      </c>
      <c r="U29" s="77">
        <f t="shared" si="3"/>
        <v>106.44</v>
      </c>
      <c r="V29" s="84">
        <v>5</v>
      </c>
      <c r="W29" s="79">
        <f t="shared" si="4"/>
        <v>104.41199999999999</v>
      </c>
      <c r="X29" s="80">
        <f t="shared" si="2"/>
        <v>2.6798730812108741E-2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41086</v>
      </c>
      <c r="N30" s="57">
        <v>136</v>
      </c>
      <c r="O30" s="58">
        <f t="shared" si="0"/>
        <v>4.9126548857360524</v>
      </c>
      <c r="Q30" s="75" t="s">
        <v>105</v>
      </c>
      <c r="R30" s="75">
        <f>NORMINV(0.95,$R$26,$R$27)</f>
        <v>4.8796613685186152</v>
      </c>
      <c r="T30" s="69">
        <v>16</v>
      </c>
      <c r="U30" s="77">
        <f t="shared" si="3"/>
        <v>110.496</v>
      </c>
      <c r="V30" s="84">
        <v>4</v>
      </c>
      <c r="W30" s="79">
        <f t="shared" si="4"/>
        <v>108.46799999999999</v>
      </c>
      <c r="X30" s="80">
        <f t="shared" si="2"/>
        <v>2.1438984649686993E-2</v>
      </c>
    </row>
    <row r="31" spans="1:24" ht="15" customHeight="1" x14ac:dyDescent="0.2">
      <c r="A31" s="65" t="s">
        <v>98</v>
      </c>
      <c r="B31" s="62">
        <f>EXP($R30)-$B$26</f>
        <v>131.58609714539944</v>
      </c>
      <c r="C31" s="62">
        <f>NORMINV(0.025,$R$26,$R$27)</f>
        <v>4.1924279749228628</v>
      </c>
      <c r="E31" s="7" t="e">
        <f>NORMINV(0.98,$E$26,$E$27)</f>
        <v>#DIV/0!</v>
      </c>
      <c r="M31" s="56">
        <v>41164</v>
      </c>
      <c r="N31" s="57">
        <v>107</v>
      </c>
      <c r="O31" s="58">
        <f t="shared" si="0"/>
        <v>4.6728288344619058</v>
      </c>
      <c r="Q31" s="75" t="s">
        <v>106</v>
      </c>
      <c r="R31" s="75">
        <f>NORMINV(0.98,$R$26,$R$27)</f>
        <v>4.9576144090644512</v>
      </c>
      <c r="T31" s="69">
        <v>17</v>
      </c>
      <c r="U31" s="77">
        <f t="shared" si="3"/>
        <v>114.55199999999999</v>
      </c>
      <c r="V31" s="84">
        <v>5</v>
      </c>
      <c r="W31" s="79">
        <f t="shared" si="4"/>
        <v>112.524</v>
      </c>
      <c r="X31" s="80">
        <f t="shared" si="2"/>
        <v>2.6798730812108741E-2</v>
      </c>
    </row>
    <row r="32" spans="1:24" ht="15" customHeight="1" x14ac:dyDescent="0.2">
      <c r="A32" s="65" t="s">
        <v>86</v>
      </c>
      <c r="B32" s="62">
        <f>EXP($R$31)-$B$26</f>
        <v>142.25403086136114</v>
      </c>
      <c r="C32" s="62">
        <f>NORMINV(0.01,$R$26,$R$27)</f>
        <v>4.1225794358628649</v>
      </c>
      <c r="M32" s="56">
        <v>41248</v>
      </c>
      <c r="N32" s="57">
        <v>101</v>
      </c>
      <c r="O32" s="58">
        <f t="shared" si="0"/>
        <v>4.6151205168412597</v>
      </c>
      <c r="T32" s="69">
        <v>18</v>
      </c>
      <c r="U32" s="77">
        <f t="shared" si="3"/>
        <v>118.60799999999999</v>
      </c>
      <c r="V32" s="84">
        <v>0</v>
      </c>
      <c r="W32" s="79">
        <f t="shared" si="4"/>
        <v>116.57999999999998</v>
      </c>
      <c r="X32" s="80">
        <f t="shared" si="2"/>
        <v>0</v>
      </c>
    </row>
    <row r="33" spans="1:24" ht="15" customHeight="1" x14ac:dyDescent="0.2">
      <c r="M33" s="56">
        <v>41338</v>
      </c>
      <c r="N33" s="57">
        <v>108</v>
      </c>
      <c r="O33" s="58">
        <f t="shared" si="0"/>
        <v>4.6821312271242199</v>
      </c>
      <c r="T33" s="69">
        <v>19</v>
      </c>
      <c r="U33" s="77">
        <f t="shared" si="3"/>
        <v>122.664</v>
      </c>
      <c r="V33" s="84">
        <v>4</v>
      </c>
      <c r="W33" s="79">
        <f t="shared" si="4"/>
        <v>120.636</v>
      </c>
      <c r="X33" s="80">
        <f t="shared" si="2"/>
        <v>2.1438984649686993E-2</v>
      </c>
    </row>
    <row r="34" spans="1:24" ht="15" customHeight="1" x14ac:dyDescent="0.2">
      <c r="M34" s="56">
        <v>41429</v>
      </c>
      <c r="N34" s="57">
        <v>116</v>
      </c>
      <c r="O34" s="58">
        <f t="shared" si="0"/>
        <v>4.7535901911063645</v>
      </c>
      <c r="T34" s="69">
        <v>20</v>
      </c>
      <c r="U34" s="77">
        <f t="shared" si="3"/>
        <v>126.72</v>
      </c>
      <c r="V34" s="84">
        <v>1</v>
      </c>
      <c r="W34" s="79">
        <f t="shared" si="4"/>
        <v>124.69200000000001</v>
      </c>
      <c r="X34" s="80">
        <f t="shared" si="2"/>
        <v>5.3597461624217482E-3</v>
      </c>
    </row>
    <row r="35" spans="1:24" ht="15" customHeight="1" x14ac:dyDescent="0.25">
      <c r="A35" s="140" t="s">
        <v>78</v>
      </c>
      <c r="B35" s="140"/>
      <c r="C35" s="140"/>
      <c r="M35" s="56">
        <v>41516</v>
      </c>
      <c r="N35" s="57">
        <v>96</v>
      </c>
      <c r="O35" s="58">
        <f t="shared" si="0"/>
        <v>4.5643481914678361</v>
      </c>
      <c r="T35" s="69">
        <v>21</v>
      </c>
      <c r="U35" s="77">
        <f t="shared" si="3"/>
        <v>130.77600000000001</v>
      </c>
      <c r="V35" s="84">
        <v>0</v>
      </c>
      <c r="W35" s="79">
        <f t="shared" si="4"/>
        <v>128.74799999999999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45.599999999999994</v>
      </c>
      <c r="M36" s="56">
        <v>41617</v>
      </c>
      <c r="N36" s="57">
        <v>117</v>
      </c>
      <c r="O36" s="58">
        <f t="shared" si="0"/>
        <v>4.7621739347977563</v>
      </c>
      <c r="T36" s="69">
        <v>22</v>
      </c>
      <c r="U36" s="77">
        <f t="shared" si="3"/>
        <v>134.83199999999999</v>
      </c>
      <c r="V36" s="84">
        <v>0</v>
      </c>
      <c r="W36" s="79">
        <f t="shared" si="4"/>
        <v>132.804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147</v>
      </c>
      <c r="D37" s="8"/>
      <c r="E37" s="8"/>
      <c r="M37" s="56">
        <v>41696</v>
      </c>
      <c r="N37" s="57">
        <v>99</v>
      </c>
      <c r="O37" s="58">
        <f t="shared" si="0"/>
        <v>4.5951198501345898</v>
      </c>
      <c r="T37" s="69">
        <v>23</v>
      </c>
      <c r="U37" s="77">
        <f t="shared" si="3"/>
        <v>138.88799999999998</v>
      </c>
      <c r="V37" s="84">
        <v>1</v>
      </c>
      <c r="W37" s="79">
        <f t="shared" si="4"/>
        <v>136.85999999999999</v>
      </c>
      <c r="X37" s="80">
        <f t="shared" si="2"/>
        <v>5.3597461624217482E-3</v>
      </c>
    </row>
    <row r="38" spans="1:24" ht="15" x14ac:dyDescent="0.2">
      <c r="A38" s="104" t="s">
        <v>19</v>
      </c>
      <c r="B38" s="53">
        <f>($B$37-$B$36)/25</f>
        <v>4.056</v>
      </c>
      <c r="M38" s="56">
        <v>41813</v>
      </c>
      <c r="N38" s="57">
        <v>84.1</v>
      </c>
      <c r="O38" s="58">
        <f t="shared" si="0"/>
        <v>4.4320065669789024</v>
      </c>
      <c r="T38" s="69">
        <v>24</v>
      </c>
      <c r="U38" s="77">
        <f t="shared" si="3"/>
        <v>142.94399999999999</v>
      </c>
      <c r="V38" s="84">
        <v>1</v>
      </c>
      <c r="W38" s="79">
        <f t="shared" si="4"/>
        <v>140.916</v>
      </c>
      <c r="X38" s="80">
        <f t="shared" si="2"/>
        <v>5.3597461624217482E-3</v>
      </c>
    </row>
    <row r="39" spans="1:24" ht="15" x14ac:dyDescent="0.2">
      <c r="M39" s="56">
        <v>41886</v>
      </c>
      <c r="N39" s="57">
        <v>85</v>
      </c>
      <c r="O39" s="58">
        <f t="shared" si="0"/>
        <v>4.4426512564903167</v>
      </c>
      <c r="T39" s="69">
        <v>25</v>
      </c>
      <c r="U39" s="77">
        <f t="shared" si="3"/>
        <v>147</v>
      </c>
      <c r="V39" s="84">
        <v>1</v>
      </c>
      <c r="W39" s="79">
        <f t="shared" si="4"/>
        <v>144.97199999999998</v>
      </c>
      <c r="X39" s="80">
        <f t="shared" si="2"/>
        <v>5.3597461624217482E-3</v>
      </c>
    </row>
    <row r="40" spans="1:24" ht="15" x14ac:dyDescent="0.2">
      <c r="M40" s="56">
        <v>41975</v>
      </c>
      <c r="N40" s="57">
        <v>110</v>
      </c>
      <c r="O40" s="58">
        <f t="shared" si="0"/>
        <v>4.7004803657924166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42046</v>
      </c>
      <c r="N41" s="57">
        <v>102</v>
      </c>
      <c r="O41" s="58">
        <f t="shared" si="0"/>
        <v>4.6249728132842707</v>
      </c>
    </row>
    <row r="42" spans="1:24" ht="15" x14ac:dyDescent="0.2">
      <c r="M42" s="56">
        <v>42156</v>
      </c>
      <c r="N42" s="57">
        <v>116</v>
      </c>
      <c r="O42" s="58">
        <f t="shared" si="0"/>
        <v>4.7535901911063645</v>
      </c>
    </row>
    <row r="43" spans="1:24" ht="15" x14ac:dyDescent="0.2">
      <c r="M43" s="56">
        <v>42254</v>
      </c>
      <c r="N43" s="57">
        <v>80</v>
      </c>
      <c r="O43" s="58">
        <f t="shared" si="0"/>
        <v>4.3820266346738812</v>
      </c>
    </row>
    <row r="44" spans="1:24" ht="15" x14ac:dyDescent="0.2">
      <c r="M44" s="56">
        <v>42332</v>
      </c>
      <c r="N44" s="57">
        <v>93.4</v>
      </c>
      <c r="O44" s="58">
        <f t="shared" si="0"/>
        <v>4.536891345234797</v>
      </c>
      <c r="T44" s="83" t="s">
        <v>13</v>
      </c>
    </row>
    <row r="45" spans="1:24" ht="15" x14ac:dyDescent="0.2">
      <c r="M45" s="56">
        <v>42403</v>
      </c>
      <c r="N45" s="57">
        <v>104</v>
      </c>
      <c r="O45" s="58">
        <f t="shared" si="0"/>
        <v>4.6443908991413725</v>
      </c>
      <c r="T45" s="69" t="s">
        <v>26</v>
      </c>
      <c r="U45" s="69" t="s">
        <v>27</v>
      </c>
    </row>
    <row r="46" spans="1:24" ht="15" x14ac:dyDescent="0.2">
      <c r="B46" s="6"/>
      <c r="M46" s="56">
        <v>42508</v>
      </c>
      <c r="N46" s="57">
        <v>116</v>
      </c>
      <c r="O46" s="58">
        <f t="shared" si="0"/>
        <v>4.7535901911063645</v>
      </c>
      <c r="T46" s="85">
        <f>$U$14-$B$38/100</f>
        <v>45.559439999999995</v>
      </c>
      <c r="U46" s="28">
        <v>0</v>
      </c>
    </row>
    <row r="47" spans="1:24" ht="15" x14ac:dyDescent="0.2">
      <c r="C47" s="9"/>
      <c r="D47" s="9"/>
      <c r="E47" s="9"/>
      <c r="M47" s="56">
        <v>42579</v>
      </c>
      <c r="N47" s="57">
        <v>94</v>
      </c>
      <c r="O47" s="58">
        <f t="shared" si="0"/>
        <v>4.5432947822700038</v>
      </c>
      <c r="T47" s="85">
        <f>$U$14+$B$38/100</f>
        <v>45.640559999999994</v>
      </c>
      <c r="U47" s="28">
        <f>$X$15</f>
        <v>5.3597461624217482E-3</v>
      </c>
    </row>
    <row r="48" spans="1:24" ht="16.149999999999999" customHeight="1" x14ac:dyDescent="0.2">
      <c r="D48" s="9"/>
      <c r="E48" s="9"/>
      <c r="K48" s="11"/>
      <c r="L48" s="12"/>
      <c r="M48" s="56">
        <v>42696</v>
      </c>
      <c r="N48" s="57">
        <v>98.6</v>
      </c>
      <c r="O48" s="58">
        <f t="shared" si="0"/>
        <v>4.5910712616085894</v>
      </c>
      <c r="T48" s="85">
        <f>$U$15-$B$38/100</f>
        <v>49.615439999999992</v>
      </c>
      <c r="U48" s="28">
        <f>$X$15</f>
        <v>5.3597461624217482E-3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49.696559999999991</v>
      </c>
      <c r="U49" s="28">
        <f>$X$16</f>
        <v>5.3597461624217482E-3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53.671439999999997</v>
      </c>
      <c r="U50" s="28">
        <f>$X$16</f>
        <v>5.3597461624217482E-3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53.752559999999995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57.727439999999994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57.808559999999993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61.783439999999999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61.864559999999997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65.839439999999996</v>
      </c>
      <c r="U56" s="28">
        <f>$X$19</f>
        <v>0</v>
      </c>
    </row>
    <row r="57" spans="5:21" ht="15" x14ac:dyDescent="0.2">
      <c r="E57" s="70">
        <v>1</v>
      </c>
      <c r="F57" s="74">
        <f>$B$21</f>
        <v>132.29051231477763</v>
      </c>
      <c r="G57" s="74">
        <f>$C$21</f>
        <v>63.322531163483248</v>
      </c>
      <c r="H57" s="74">
        <f>$B$22</f>
        <v>138.73674229261013</v>
      </c>
      <c r="I57" s="74">
        <f>$C$22</f>
        <v>56.876301185650767</v>
      </c>
      <c r="J57" s="74">
        <f>$B$31</f>
        <v>131.58609714539944</v>
      </c>
      <c r="K57" s="74">
        <f>$B$32</f>
        <v>142.25403086136114</v>
      </c>
      <c r="M57" s="56"/>
      <c r="N57" s="57"/>
      <c r="O57" s="58" t="b">
        <f t="shared" si="0"/>
        <v>0</v>
      </c>
      <c r="T57" s="85">
        <f>$U$19+$B$38/100</f>
        <v>65.920559999999995</v>
      </c>
      <c r="U57" s="28">
        <f>$X$20</f>
        <v>0</v>
      </c>
    </row>
    <row r="58" spans="5:21" ht="15" x14ac:dyDescent="0.2">
      <c r="E58" s="70">
        <v>51501</v>
      </c>
      <c r="F58" s="74">
        <f>$B$21</f>
        <v>132.29051231477763</v>
      </c>
      <c r="G58" s="74">
        <f>$C$21</f>
        <v>63.322531163483248</v>
      </c>
      <c r="H58" s="74">
        <f>$B$22</f>
        <v>138.73674229261013</v>
      </c>
      <c r="I58" s="74">
        <f>$C$22</f>
        <v>56.876301185650767</v>
      </c>
      <c r="J58" s="74">
        <f>$B$31</f>
        <v>131.58609714539944</v>
      </c>
      <c r="K58" s="74">
        <f>$B$32</f>
        <v>142.25403086136114</v>
      </c>
      <c r="M58" s="56"/>
      <c r="N58" s="57"/>
      <c r="O58" s="58" t="b">
        <f t="shared" si="0"/>
        <v>0</v>
      </c>
      <c r="T58" s="85">
        <f>$U$20-$B$38/100</f>
        <v>69.895439999999994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69.976559999999992</v>
      </c>
      <c r="U59" s="28">
        <f>$X$21</f>
        <v>5.3597461624217482E-3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73.951439999999991</v>
      </c>
      <c r="U60" s="28">
        <f>$X$21</f>
        <v>5.3597461624217482E-3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74.032559999999989</v>
      </c>
      <c r="U61" s="28">
        <f>$X$22</f>
        <v>5.3597461624217482E-3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78.007440000000003</v>
      </c>
      <c r="U62" s="28">
        <f>$X$22</f>
        <v>5.3597461624217482E-3</v>
      </c>
    </row>
    <row r="63" spans="5:21" ht="15" x14ac:dyDescent="0.2">
      <c r="E63" s="72">
        <v>-5</v>
      </c>
      <c r="F63" s="73">
        <f>$B$16+$E63*$B$17</f>
        <v>9.8355415383397116</v>
      </c>
      <c r="G63" s="73">
        <f>NORMDIST($F63,$B$16,$B$17,FALSE)</f>
        <v>8.450056548994406E-8</v>
      </c>
      <c r="H63" s="73">
        <f>EXP($R$26+$E63*$R$27)</f>
        <v>37.072159220934068</v>
      </c>
      <c r="I63" s="73">
        <f t="shared" ref="I63:I113" si="5">H63-$B$26</f>
        <v>37.072159220934068</v>
      </c>
      <c r="J63" s="73">
        <f>1/$H63/SQRT(2*PI())/$R$27*EXP(-POWER(LN($H63)-$R$26,2)/2/POWER($R$27,2))</f>
        <v>2.1035856628895531E-7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78.088560000000001</v>
      </c>
      <c r="U63" s="28">
        <f>$X$23</f>
        <v>5.3597461624217482E-3</v>
      </c>
    </row>
    <row r="64" spans="5:21" ht="15" x14ac:dyDescent="0.2">
      <c r="E64" s="72">
        <v>-4.8</v>
      </c>
      <c r="F64" s="73">
        <f t="shared" ref="F64:F113" si="6">$B$16+$E64*$B$17</f>
        <v>13.354380746371348</v>
      </c>
      <c r="G64" s="73">
        <f t="shared" ref="G64:G113" si="7">NORMDIST($F64,$B$16,$B$17,FALSE)</f>
        <v>2.2514805916624703E-7</v>
      </c>
      <c r="H64" s="73">
        <f t="shared" ref="H64:H113" si="8">EXP($R$26+$E64*$R$27)</f>
        <v>38.512962421351958</v>
      </c>
      <c r="I64" s="73">
        <f t="shared" si="5"/>
        <v>38.512962421351958</v>
      </c>
      <c r="J64" s="73">
        <f t="shared" ref="J64:J113" si="9">1/$H64/SQRT(2*PI())/$R$27*EXP(-POWER(LN($H64)-$R$26,2)/2/POWER($R$27,2))</f>
        <v>5.3952273510782335E-7</v>
      </c>
      <c r="K64" s="73">
        <f t="shared" ref="K64:K113" si="10">LOGNORMDIST($H64,$R$26,$R$27)</f>
        <v>7.9332815197560211E-7</v>
      </c>
      <c r="M64" s="56"/>
      <c r="N64" s="57"/>
      <c r="O64" s="58" t="b">
        <f t="shared" si="0"/>
        <v>0</v>
      </c>
      <c r="T64" s="85">
        <f>$U$23-$B$38/100</f>
        <v>82.063439999999986</v>
      </c>
      <c r="U64" s="28">
        <f>$X$23</f>
        <v>5.3597461624217482E-3</v>
      </c>
    </row>
    <row r="65" spans="5:21" ht="15" x14ac:dyDescent="0.2">
      <c r="E65" s="72">
        <v>-4.5999999999999996</v>
      </c>
      <c r="F65" s="73">
        <f t="shared" si="6"/>
        <v>16.873219954402984</v>
      </c>
      <c r="G65" s="73">
        <f t="shared" si="7"/>
        <v>5.7637484783849255E-7</v>
      </c>
      <c r="H65" s="73">
        <f t="shared" si="8"/>
        <v>40.009762194560821</v>
      </c>
      <c r="I65" s="73">
        <f t="shared" si="5"/>
        <v>40.009762194560821</v>
      </c>
      <c r="J65" s="73">
        <f t="shared" si="9"/>
        <v>1.3294974817875854E-6</v>
      </c>
      <c r="K65" s="73">
        <f t="shared" si="10"/>
        <v>2.1124547025028579E-6</v>
      </c>
      <c r="M65" s="56"/>
      <c r="N65" s="57"/>
      <c r="O65" s="58" t="b">
        <f t="shared" si="0"/>
        <v>0</v>
      </c>
      <c r="T65" s="85">
        <f>$U$23+$B$38/100</f>
        <v>82.144559999999984</v>
      </c>
      <c r="U65" s="28">
        <f>$X$24</f>
        <v>2.1438984649686993E-2</v>
      </c>
    </row>
    <row r="66" spans="5:21" ht="15" x14ac:dyDescent="0.2">
      <c r="E66" s="72">
        <v>-4.4000000000000004</v>
      </c>
      <c r="F66" s="73">
        <f t="shared" si="6"/>
        <v>20.392059162434606</v>
      </c>
      <c r="G66" s="73">
        <f t="shared" si="7"/>
        <v>1.4176533689361652E-6</v>
      </c>
      <c r="H66" s="73">
        <f t="shared" si="8"/>
        <v>41.564734837894974</v>
      </c>
      <c r="I66" s="73">
        <f t="shared" si="5"/>
        <v>41.564734837894974</v>
      </c>
      <c r="J66" s="73">
        <f t="shared" si="9"/>
        <v>3.1477012649907104E-6</v>
      </c>
      <c r="K66" s="73">
        <f t="shared" si="10"/>
        <v>5.412543907703823E-6</v>
      </c>
      <c r="M66" s="56"/>
      <c r="N66" s="57"/>
      <c r="O66" s="58" t="b">
        <f t="shared" si="0"/>
        <v>0</v>
      </c>
      <c r="T66" s="85">
        <f>$U$24-$B$38/100</f>
        <v>86.119439999999997</v>
      </c>
      <c r="U66" s="28">
        <f>$X$24</f>
        <v>2.1438984649686993E-2</v>
      </c>
    </row>
    <row r="67" spans="5:21" ht="15" x14ac:dyDescent="0.2">
      <c r="E67" s="72">
        <v>-4.2</v>
      </c>
      <c r="F67" s="73">
        <f t="shared" si="6"/>
        <v>23.910898370466228</v>
      </c>
      <c r="G67" s="73">
        <f t="shared" si="7"/>
        <v>3.3501427187695494E-6</v>
      </c>
      <c r="H67" s="73">
        <f t="shared" si="8"/>
        <v>43.180141230116739</v>
      </c>
      <c r="I67" s="73">
        <f t="shared" si="5"/>
        <v>43.180141230116739</v>
      </c>
      <c r="J67" s="73">
        <f t="shared" si="9"/>
        <v>7.1602422985851155E-6</v>
      </c>
      <c r="K67" s="73">
        <f t="shared" si="10"/>
        <v>1.3345749015906336E-5</v>
      </c>
      <c r="M67" s="56"/>
      <c r="N67" s="57"/>
      <c r="O67" s="58" t="b">
        <f t="shared" ref="O67:O130" si="11">IF($N67&gt;0,LN($N67+$B$26))</f>
        <v>0</v>
      </c>
      <c r="T67" s="85">
        <f>$U$24+$B$38/100</f>
        <v>86.200559999999996</v>
      </c>
      <c r="U67" s="28">
        <f>$X$25</f>
        <v>1.6079238487265245E-2</v>
      </c>
    </row>
    <row r="68" spans="5:21" ht="15" x14ac:dyDescent="0.2">
      <c r="E68" s="72">
        <v>-4</v>
      </c>
      <c r="F68" s="73">
        <f t="shared" si="6"/>
        <v>27.429737578497864</v>
      </c>
      <c r="G68" s="73">
        <f t="shared" si="7"/>
        <v>7.6064984986766364E-6</v>
      </c>
      <c r="H68" s="73">
        <f t="shared" si="8"/>
        <v>44.85833011865919</v>
      </c>
      <c r="I68" s="73">
        <f t="shared" si="5"/>
        <v>44.85833011865919</v>
      </c>
      <c r="J68" s="73">
        <f t="shared" si="9"/>
        <v>1.5649128251882444E-5</v>
      </c>
      <c r="K68" s="73">
        <f t="shared" si="10"/>
        <v>3.1671241833119972E-5</v>
      </c>
      <c r="M68" s="56"/>
      <c r="N68" s="57"/>
      <c r="O68" s="58" t="b">
        <f t="shared" si="11"/>
        <v>0</v>
      </c>
      <c r="T68" s="85">
        <f>$U$25-$B$38/100</f>
        <v>90.175439999999995</v>
      </c>
      <c r="U68" s="28">
        <f>$X$25</f>
        <v>1.6079238487265245E-2</v>
      </c>
    </row>
    <row r="69" spans="5:21" ht="15" x14ac:dyDescent="0.2">
      <c r="E69" s="72">
        <v>-3.8</v>
      </c>
      <c r="F69" s="73">
        <f t="shared" si="6"/>
        <v>30.9485767865295</v>
      </c>
      <c r="G69" s="73">
        <f t="shared" si="7"/>
        <v>1.6593365512416824E-5</v>
      </c>
      <c r="H69" s="73">
        <f t="shared" si="8"/>
        <v>46.601741534627344</v>
      </c>
      <c r="I69" s="73">
        <f t="shared" si="5"/>
        <v>46.601741534627344</v>
      </c>
      <c r="J69" s="73">
        <f t="shared" si="9"/>
        <v>3.2861001974692581E-5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90.256559999999993</v>
      </c>
      <c r="U69" s="28">
        <f>$X$26</f>
        <v>1.6079238487265245E-2</v>
      </c>
    </row>
    <row r="70" spans="5:21" ht="15" x14ac:dyDescent="0.2">
      <c r="E70" s="72">
        <v>-3.6</v>
      </c>
      <c r="F70" s="73">
        <f t="shared" si="6"/>
        <v>34.467415994561122</v>
      </c>
      <c r="G70" s="73">
        <f t="shared" si="7"/>
        <v>3.4778624082460309E-5</v>
      </c>
      <c r="H70" s="73">
        <f t="shared" si="8"/>
        <v>48.412910340522586</v>
      </c>
      <c r="I70" s="73">
        <f t="shared" si="5"/>
        <v>48.412910340522586</v>
      </c>
      <c r="J70" s="73">
        <f t="shared" si="9"/>
        <v>6.6297884989345864E-5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94.231439999999992</v>
      </c>
      <c r="U70" s="28">
        <f>$X$26</f>
        <v>1.6079238487265245E-2</v>
      </c>
    </row>
    <row r="71" spans="5:21" ht="15" x14ac:dyDescent="0.2">
      <c r="E71" s="72">
        <v>-3.4</v>
      </c>
      <c r="F71" s="73">
        <f t="shared" si="6"/>
        <v>37.986255202592751</v>
      </c>
      <c r="G71" s="73">
        <f t="shared" si="7"/>
        <v>7.0035548408152443E-5</v>
      </c>
      <c r="H71" s="73">
        <f t="shared" si="8"/>
        <v>50.29446991584885</v>
      </c>
      <c r="I71" s="73">
        <f t="shared" si="5"/>
        <v>50.29446991584885</v>
      </c>
      <c r="J71" s="73">
        <f t="shared" si="9"/>
        <v>1.2851291276945578E-4</v>
      </c>
      <c r="K71" s="73">
        <f t="shared" si="10"/>
        <v>3.3692926567687983E-4</v>
      </c>
      <c r="M71" s="56"/>
      <c r="N71" s="57"/>
      <c r="O71" s="58" t="b">
        <f t="shared" si="11"/>
        <v>0</v>
      </c>
      <c r="T71" s="85">
        <f>$U$26+$B$38/100</f>
        <v>94.312559999999991</v>
      </c>
      <c r="U71" s="28">
        <f>$X$27</f>
        <v>3.7518223136952231E-2</v>
      </c>
    </row>
    <row r="72" spans="5:21" ht="15" x14ac:dyDescent="0.2">
      <c r="E72" s="72">
        <v>-3.2</v>
      </c>
      <c r="F72" s="73">
        <f t="shared" si="6"/>
        <v>41.50509441062438</v>
      </c>
      <c r="G72" s="73">
        <f t="shared" si="7"/>
        <v>1.3550424219573552E-4</v>
      </c>
      <c r="H72" s="73">
        <f t="shared" si="8"/>
        <v>52.24915598595927</v>
      </c>
      <c r="I72" s="73">
        <f t="shared" si="5"/>
        <v>52.24915598595927</v>
      </c>
      <c r="J72" s="73">
        <f t="shared" si="9"/>
        <v>2.3934374433955323E-4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98.287440000000004</v>
      </c>
      <c r="U72" s="28">
        <f>$X$27</f>
        <v>3.7518223136952231E-2</v>
      </c>
    </row>
    <row r="73" spans="5:21" ht="15" x14ac:dyDescent="0.2">
      <c r="E73" s="72">
        <v>-3</v>
      </c>
      <c r="F73" s="73">
        <f t="shared" si="6"/>
        <v>45.02393361865601</v>
      </c>
      <c r="G73" s="73">
        <f t="shared" si="7"/>
        <v>2.5189263560679135E-4</v>
      </c>
      <c r="H73" s="73">
        <f t="shared" si="8"/>
        <v>54.279810599710309</v>
      </c>
      <c r="I73" s="73">
        <f t="shared" si="5"/>
        <v>54.279810599710309</v>
      </c>
      <c r="J73" s="73">
        <f t="shared" si="9"/>
        <v>4.282778516951066E-4</v>
      </c>
      <c r="K73" s="73">
        <f t="shared" si="10"/>
        <v>1.3498980316300902E-3</v>
      </c>
      <c r="M73" s="56"/>
      <c r="N73" s="57"/>
      <c r="O73" s="58" t="b">
        <f t="shared" si="11"/>
        <v>0</v>
      </c>
      <c r="T73" s="85">
        <f>$U$27+$B$38/100</f>
        <v>98.368560000000002</v>
      </c>
      <c r="U73" s="28">
        <f>$X$28</f>
        <v>1.6079238487265245E-2</v>
      </c>
    </row>
    <row r="74" spans="5:21" ht="15" x14ac:dyDescent="0.2">
      <c r="E74" s="72">
        <v>-2.8</v>
      </c>
      <c r="F74" s="73">
        <f t="shared" si="6"/>
        <v>48.542772826687639</v>
      </c>
      <c r="G74" s="73">
        <f t="shared" si="7"/>
        <v>4.4988992761665393E-4</v>
      </c>
      <c r="H74" s="73">
        <f t="shared" si="8"/>
        <v>56.389386261706719</v>
      </c>
      <c r="I74" s="73">
        <f t="shared" si="5"/>
        <v>56.389386261706719</v>
      </c>
      <c r="J74" s="73">
        <f t="shared" si="9"/>
        <v>7.3630435778643602E-4</v>
      </c>
      <c r="K74" s="73">
        <f t="shared" si="10"/>
        <v>2.5551303304279203E-3</v>
      </c>
      <c r="M74" s="56"/>
      <c r="N74" s="57"/>
      <c r="O74" s="58" t="b">
        <f t="shared" si="11"/>
        <v>0</v>
      </c>
      <c r="T74" s="85">
        <f>$U$28-$B$38/100</f>
        <v>102.34343999999999</v>
      </c>
      <c r="U74" s="28">
        <f>$X$28</f>
        <v>1.6079238487265245E-2</v>
      </c>
    </row>
    <row r="75" spans="5:21" ht="15" x14ac:dyDescent="0.2">
      <c r="E75" s="72">
        <v>-2.6</v>
      </c>
      <c r="F75" s="73">
        <f t="shared" si="6"/>
        <v>52.061612034719268</v>
      </c>
      <c r="G75" s="73">
        <f t="shared" si="7"/>
        <v>7.7201420301802688E-4</v>
      </c>
      <c r="H75" s="73">
        <f t="shared" si="8"/>
        <v>58.580950225145578</v>
      </c>
      <c r="I75" s="73">
        <f t="shared" si="5"/>
        <v>58.580950225145578</v>
      </c>
      <c r="J75" s="73">
        <f t="shared" si="9"/>
        <v>1.2162345793188629E-3</v>
      </c>
      <c r="K75" s="73">
        <f t="shared" si="10"/>
        <v>4.6611880237187302E-3</v>
      </c>
      <c r="M75" s="56"/>
      <c r="N75" s="57"/>
      <c r="O75" s="58" t="b">
        <f t="shared" si="11"/>
        <v>0</v>
      </c>
      <c r="T75" s="85">
        <f>$U$28+$B$38/100</f>
        <v>102.42455999999999</v>
      </c>
      <c r="U75" s="28">
        <f>$X$29</f>
        <v>2.6798730812108741E-2</v>
      </c>
    </row>
    <row r="76" spans="5:21" ht="15" x14ac:dyDescent="0.2">
      <c r="E76" s="72">
        <v>-2.4</v>
      </c>
      <c r="F76" s="73">
        <f t="shared" si="6"/>
        <v>55.580451242750897</v>
      </c>
      <c r="G76" s="73">
        <f t="shared" si="7"/>
        <v>1.2728362377984284E-3</v>
      </c>
      <c r="H76" s="73">
        <f t="shared" si="8"/>
        <v>60.857688951500862</v>
      </c>
      <c r="I76" s="73">
        <f t="shared" si="5"/>
        <v>60.857688951500862</v>
      </c>
      <c r="J76" s="73">
        <f t="shared" si="9"/>
        <v>1.9302143660830649E-3</v>
      </c>
      <c r="K76" s="73">
        <f t="shared" si="10"/>
        <v>8.1975359245960878E-3</v>
      </c>
      <c r="M76" s="56"/>
      <c r="N76" s="57"/>
      <c r="O76" s="58" t="b">
        <f t="shared" si="11"/>
        <v>0</v>
      </c>
      <c r="T76" s="85">
        <f>$U$29-$B$38/100</f>
        <v>106.39944</v>
      </c>
      <c r="U76" s="28">
        <f>$X$29</f>
        <v>2.6798730812108741E-2</v>
      </c>
    </row>
    <row r="77" spans="5:21" ht="15" x14ac:dyDescent="0.2">
      <c r="E77" s="72">
        <v>-2.2000000000000002</v>
      </c>
      <c r="F77" s="73">
        <f t="shared" si="6"/>
        <v>59.099290450782526</v>
      </c>
      <c r="G77" s="73">
        <f t="shared" si="7"/>
        <v>2.0162667714547391E-3</v>
      </c>
      <c r="H77" s="73">
        <f t="shared" si="8"/>
        <v>63.222912743533023</v>
      </c>
      <c r="I77" s="73">
        <f t="shared" si="5"/>
        <v>63.222912743533023</v>
      </c>
      <c r="J77" s="73">
        <f t="shared" si="9"/>
        <v>2.9432148165327368E-3</v>
      </c>
      <c r="K77" s="73">
        <f t="shared" si="10"/>
        <v>1.3903447513498535E-2</v>
      </c>
      <c r="L77" s="16"/>
      <c r="M77" s="56"/>
      <c r="N77" s="57"/>
      <c r="O77" s="58" t="b">
        <f t="shared" si="11"/>
        <v>0</v>
      </c>
      <c r="T77" s="85">
        <f>$U$29+$B$38/100</f>
        <v>106.48056</v>
      </c>
      <c r="U77" s="28">
        <f>$X$30</f>
        <v>2.1438984649686993E-2</v>
      </c>
    </row>
    <row r="78" spans="5:21" ht="15" x14ac:dyDescent="0.2">
      <c r="E78" s="72">
        <v>-2</v>
      </c>
      <c r="F78" s="73">
        <f t="shared" si="6"/>
        <v>62.618129658814155</v>
      </c>
      <c r="G78" s="73">
        <f t="shared" si="7"/>
        <v>3.0686805120254167E-3</v>
      </c>
      <c r="H78" s="73">
        <f t="shared" si="8"/>
        <v>65.680060558359628</v>
      </c>
      <c r="I78" s="73">
        <f t="shared" si="5"/>
        <v>65.680060558359628</v>
      </c>
      <c r="J78" s="73">
        <f t="shared" si="9"/>
        <v>4.3118793391724499E-3</v>
      </c>
      <c r="K78" s="73">
        <f t="shared" si="10"/>
        <v>2.2750131948179077E-2</v>
      </c>
      <c r="L78" s="16"/>
      <c r="M78" s="56"/>
      <c r="N78" s="57"/>
      <c r="O78" s="58" t="b">
        <f t="shared" si="11"/>
        <v>0</v>
      </c>
      <c r="T78" s="85">
        <f>$U$30-$B$38/100</f>
        <v>110.45544</v>
      </c>
      <c r="U78" s="28">
        <f>$X$30</f>
        <v>2.1438984649686993E-2</v>
      </c>
    </row>
    <row r="79" spans="5:21" ht="15" x14ac:dyDescent="0.2">
      <c r="E79" s="72">
        <v>-1.8</v>
      </c>
      <c r="F79" s="73">
        <f t="shared" si="6"/>
        <v>66.136968866845791</v>
      </c>
      <c r="G79" s="73">
        <f t="shared" si="7"/>
        <v>4.4872842226318958E-3</v>
      </c>
      <c r="H79" s="73">
        <f t="shared" si="8"/>
        <v>68.23270500758521</v>
      </c>
      <c r="I79" s="73">
        <f t="shared" si="5"/>
        <v>68.23270500758521</v>
      </c>
      <c r="J79" s="73">
        <f t="shared" si="9"/>
        <v>6.069311927243819E-3</v>
      </c>
      <c r="K79" s="73">
        <f t="shared" si="10"/>
        <v>3.5930319112925609E-2</v>
      </c>
      <c r="L79" s="16"/>
      <c r="M79" s="56"/>
      <c r="N79" s="57"/>
      <c r="O79" s="58" t="b">
        <f t="shared" si="11"/>
        <v>0</v>
      </c>
      <c r="T79" s="85">
        <f>$U$30+$B$38/100</f>
        <v>110.53655999999999</v>
      </c>
      <c r="U79" s="28">
        <f>$X$31</f>
        <v>2.6798730812108741E-2</v>
      </c>
    </row>
    <row r="80" spans="5:21" ht="15" x14ac:dyDescent="0.2">
      <c r="E80" s="72">
        <v>-1.6</v>
      </c>
      <c r="F80" s="73">
        <f t="shared" si="6"/>
        <v>69.655808074877413</v>
      </c>
      <c r="G80" s="73">
        <f t="shared" si="7"/>
        <v>6.3043991567607047E-3</v>
      </c>
      <c r="H80" s="73">
        <f t="shared" si="8"/>
        <v>70.884557551760338</v>
      </c>
      <c r="I80" s="73">
        <f t="shared" si="5"/>
        <v>70.884557551760338</v>
      </c>
      <c r="J80" s="73">
        <f t="shared" si="9"/>
        <v>8.2080602929907182E-3</v>
      </c>
      <c r="K80" s="73">
        <f t="shared" si="10"/>
        <v>5.4799291699558203E-2</v>
      </c>
      <c r="L80" s="16"/>
      <c r="M80" s="56"/>
      <c r="N80" s="57"/>
      <c r="O80" s="58" t="b">
        <f t="shared" si="11"/>
        <v>0</v>
      </c>
      <c r="T80" s="85">
        <f>$U$31-$B$38/100</f>
        <v>114.51143999999999</v>
      </c>
      <c r="U80" s="28">
        <f>$X$31</f>
        <v>2.6798730812108741E-2</v>
      </c>
    </row>
    <row r="81" spans="5:21" ht="15" x14ac:dyDescent="0.2">
      <c r="E81" s="72">
        <v>-1.4</v>
      </c>
      <c r="F81" s="73">
        <f t="shared" si="6"/>
        <v>73.174647282909035</v>
      </c>
      <c r="G81" s="73">
        <f t="shared" si="7"/>
        <v>8.5100487282281628E-3</v>
      </c>
      <c r="H81" s="73">
        <f t="shared" si="8"/>
        <v>73.639473896722237</v>
      </c>
      <c r="I81" s="73">
        <f t="shared" si="5"/>
        <v>73.639473896722237</v>
      </c>
      <c r="J81" s="73">
        <f t="shared" si="9"/>
        <v>1.0665220488468092E-2</v>
      </c>
      <c r="K81" s="73">
        <f t="shared" si="10"/>
        <v>8.0756659233771302E-2</v>
      </c>
      <c r="L81" s="14"/>
      <c r="M81" s="56"/>
      <c r="N81" s="57"/>
      <c r="O81" s="58" t="b">
        <f t="shared" si="11"/>
        <v>0</v>
      </c>
      <c r="T81" s="85">
        <f>$U$31+$B$38/100</f>
        <v>114.59255999999999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76.693486490940671</v>
      </c>
      <c r="G82" s="73">
        <f t="shared" si="7"/>
        <v>1.1036938234630898E-2</v>
      </c>
      <c r="H82" s="73">
        <f t="shared" si="8"/>
        <v>76.501459599663775</v>
      </c>
      <c r="I82" s="73">
        <f t="shared" si="5"/>
        <v>76.501459599663775</v>
      </c>
      <c r="J82" s="73">
        <f t="shared" si="9"/>
        <v>1.3314576565273606E-2</v>
      </c>
      <c r="K82" s="73">
        <f t="shared" si="10"/>
        <v>0.11506967022170858</v>
      </c>
      <c r="L82" s="14"/>
      <c r="M82" s="56"/>
      <c r="N82" s="57"/>
      <c r="O82" s="58" t="b">
        <f t="shared" si="11"/>
        <v>0</v>
      </c>
      <c r="T82" s="85">
        <f>$U$32-$B$38/100</f>
        <v>118.56743999999999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80.212325698972307</v>
      </c>
      <c r="G83" s="73">
        <f t="shared" si="7"/>
        <v>1.3752871911103732E-2</v>
      </c>
      <c r="H83" s="73">
        <f t="shared" si="8"/>
        <v>79.474675893080885</v>
      </c>
      <c r="I83" s="73">
        <f t="shared" si="5"/>
        <v>79.474675893080885</v>
      </c>
      <c r="J83" s="73">
        <f t="shared" si="9"/>
        <v>1.5970300987782942E-2</v>
      </c>
      <c r="K83" s="73">
        <f t="shared" si="10"/>
        <v>0.15865525393145732</v>
      </c>
      <c r="L83" s="14"/>
      <c r="M83" s="56"/>
      <c r="N83" s="57"/>
      <c r="O83" s="58" t="b">
        <f t="shared" si="11"/>
        <v>0</v>
      </c>
      <c r="T83" s="85">
        <f>$U$32+$B$38/100</f>
        <v>118.64855999999999</v>
      </c>
      <c r="U83" s="28">
        <f>$X$33</f>
        <v>2.1438984649686993E-2</v>
      </c>
    </row>
    <row r="84" spans="5:21" ht="15" x14ac:dyDescent="0.2">
      <c r="E84" s="72">
        <v>-0.8</v>
      </c>
      <c r="F84" s="73">
        <f t="shared" si="6"/>
        <v>83.731164907003929</v>
      </c>
      <c r="G84" s="73">
        <f t="shared" si="7"/>
        <v>1.646517704476361E-2</v>
      </c>
      <c r="H84" s="73">
        <f t="shared" si="8"/>
        <v>82.563445735066864</v>
      </c>
      <c r="I84" s="73">
        <f t="shared" si="5"/>
        <v>82.563445735066864</v>
      </c>
      <c r="J84" s="73">
        <f t="shared" si="9"/>
        <v>1.8404628848293973E-2</v>
      </c>
      <c r="K84" s="73">
        <f t="shared" si="10"/>
        <v>0.21185539858339703</v>
      </c>
      <c r="M84" s="56"/>
      <c r="N84" s="57"/>
      <c r="O84" s="58" t="b">
        <f t="shared" si="11"/>
        <v>0</v>
      </c>
      <c r="T84" s="85">
        <f>$U$33-$B$38/100</f>
        <v>122.62344</v>
      </c>
      <c r="U84" s="28">
        <f>$X$33</f>
        <v>2.1438984649686993E-2</v>
      </c>
    </row>
    <row r="85" spans="5:21" ht="15" x14ac:dyDescent="0.2">
      <c r="E85" s="72">
        <v>-0.6</v>
      </c>
      <c r="F85" s="73">
        <f t="shared" si="6"/>
        <v>87.250004115035551</v>
      </c>
      <c r="G85" s="73">
        <f t="shared" si="7"/>
        <v>1.893946174813705E-2</v>
      </c>
      <c r="H85" s="73">
        <f t="shared" si="8"/>
        <v>85.772260094750507</v>
      </c>
      <c r="I85" s="73">
        <f t="shared" si="5"/>
        <v>85.772260094750507</v>
      </c>
      <c r="J85" s="73">
        <f t="shared" si="9"/>
        <v>2.0378360794912218E-2</v>
      </c>
      <c r="K85" s="73">
        <f t="shared" si="10"/>
        <v>0.27425311775007383</v>
      </c>
      <c r="M85" s="56"/>
      <c r="N85" s="57"/>
      <c r="O85" s="58" t="b">
        <f t="shared" si="11"/>
        <v>0</v>
      </c>
      <c r="T85" s="85">
        <f>$U$33+$B$38/100</f>
        <v>122.70456</v>
      </c>
      <c r="U85" s="28">
        <f>$X$34</f>
        <v>5.3597461624217482E-3</v>
      </c>
    </row>
    <row r="86" spans="5:21" ht="15" x14ac:dyDescent="0.2">
      <c r="E86" s="72">
        <v>-0.4</v>
      </c>
      <c r="F86" s="73">
        <f t="shared" si="6"/>
        <v>90.768843323067188</v>
      </c>
      <c r="G86" s="73">
        <f t="shared" si="7"/>
        <v>2.0931342328047241E-2</v>
      </c>
      <c r="H86" s="73">
        <f t="shared" si="8"/>
        <v>89.105784482016475</v>
      </c>
      <c r="I86" s="73">
        <f t="shared" si="5"/>
        <v>89.105784482016475</v>
      </c>
      <c r="J86" s="73">
        <f t="shared" si="9"/>
        <v>2.1679020251728031E-2</v>
      </c>
      <c r="K86" s="73">
        <f t="shared" si="10"/>
        <v>0.34457825838967604</v>
      </c>
      <c r="M86" s="56"/>
      <c r="N86" s="57"/>
      <c r="O86" s="58" t="b">
        <f t="shared" si="11"/>
        <v>0</v>
      </c>
      <c r="T86" s="85">
        <f>$U$34-$B$38/100</f>
        <v>126.67944</v>
      </c>
      <c r="U86" s="28">
        <f>$X$34</f>
        <v>5.3597461624217482E-3</v>
      </c>
    </row>
    <row r="87" spans="5:21" ht="15" x14ac:dyDescent="0.2">
      <c r="E87" s="72">
        <v>-0.2</v>
      </c>
      <c r="F87" s="73">
        <f t="shared" si="6"/>
        <v>94.287682531098824</v>
      </c>
      <c r="G87" s="73">
        <f t="shared" si="7"/>
        <v>2.222566425217239E-2</v>
      </c>
      <c r="H87" s="73">
        <f t="shared" si="8"/>
        <v>92.568865731002319</v>
      </c>
      <c r="I87" s="73">
        <f t="shared" si="5"/>
        <v>92.568865731002319</v>
      </c>
      <c r="J87" s="73">
        <f t="shared" si="9"/>
        <v>2.2158393769017046E-2</v>
      </c>
      <c r="K87" s="73">
        <f t="shared" si="10"/>
        <v>0.42074029056089707</v>
      </c>
      <c r="M87" s="56"/>
      <c r="N87" s="57"/>
      <c r="O87" s="58" t="b">
        <f t="shared" si="11"/>
        <v>0</v>
      </c>
      <c r="T87" s="85">
        <f>$U$34+$B$38/100</f>
        <v>126.76056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97.806521739130446</v>
      </c>
      <c r="G88" s="73">
        <f t="shared" si="7"/>
        <v>2.2674652453051034E-2</v>
      </c>
      <c r="H88" s="73">
        <f t="shared" si="8"/>
        <v>96.166539047234906</v>
      </c>
      <c r="I88" s="73">
        <f t="shared" si="5"/>
        <v>96.166539047234906</v>
      </c>
      <c r="J88" s="73">
        <f t="shared" si="9"/>
        <v>2.1760312162751726E-2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130.73544000000001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101.32536094716207</v>
      </c>
      <c r="G89" s="73">
        <f t="shared" si="7"/>
        <v>2.222566425217239E-2</v>
      </c>
      <c r="H89" s="73">
        <f t="shared" si="8"/>
        <v>99.904035328652625</v>
      </c>
      <c r="I89" s="73">
        <f t="shared" si="5"/>
        <v>99.904035328652625</v>
      </c>
      <c r="J89" s="73">
        <f t="shared" si="9"/>
        <v>2.0531476740364832E-2</v>
      </c>
      <c r="K89" s="73">
        <f t="shared" si="10"/>
        <v>0.57925970943910299</v>
      </c>
      <c r="M89" s="56"/>
      <c r="N89" s="57"/>
      <c r="O89" s="58" t="b">
        <f t="shared" si="11"/>
        <v>0</v>
      </c>
      <c r="T89" s="85">
        <f>$U$35+$B$38/100</f>
        <v>130.81656000000001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104.8442001551937</v>
      </c>
      <c r="G90" s="73">
        <f t="shared" si="7"/>
        <v>2.0931342328047241E-2</v>
      </c>
      <c r="H90" s="73">
        <f t="shared" si="8"/>
        <v>103.78678877115783</v>
      </c>
      <c r="I90" s="73">
        <f t="shared" si="5"/>
        <v>103.78678877115783</v>
      </c>
      <c r="J90" s="73">
        <f t="shared" si="9"/>
        <v>1.8612447009908564E-2</v>
      </c>
      <c r="K90" s="73">
        <f t="shared" si="10"/>
        <v>0.65542174161032396</v>
      </c>
      <c r="M90" s="56"/>
      <c r="N90" s="57"/>
      <c r="O90" s="58" t="b">
        <f t="shared" si="11"/>
        <v>0</v>
      </c>
      <c r="T90" s="85">
        <f>$U$36-$B$38/100</f>
        <v>134.79143999999999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108.36303936322534</v>
      </c>
      <c r="G91" s="73">
        <f t="shared" si="7"/>
        <v>1.893946174813705E-2</v>
      </c>
      <c r="H91" s="73">
        <f t="shared" si="8"/>
        <v>107.8204447697579</v>
      </c>
      <c r="I91" s="73">
        <f t="shared" si="5"/>
        <v>107.8204447697579</v>
      </c>
      <c r="J91" s="73">
        <f t="shared" si="9"/>
        <v>1.6211193212366876E-2</v>
      </c>
      <c r="K91" s="73">
        <f t="shared" si="10"/>
        <v>0.72574688224992623</v>
      </c>
      <c r="M91" s="56"/>
      <c r="N91" s="57"/>
      <c r="O91" s="58" t="b">
        <f t="shared" si="11"/>
        <v>0</v>
      </c>
      <c r="T91" s="85">
        <f>$U$36+$B$38/100</f>
        <v>134.87255999999999</v>
      </c>
      <c r="U91" s="28">
        <f>$X$37</f>
        <v>5.3597461624217482E-3</v>
      </c>
    </row>
    <row r="92" spans="5:21" ht="15" x14ac:dyDescent="0.2">
      <c r="E92" s="72">
        <v>0.80000000000001004</v>
      </c>
      <c r="F92" s="73">
        <f t="shared" si="6"/>
        <v>111.88187857125713</v>
      </c>
      <c r="G92" s="73">
        <f t="shared" si="7"/>
        <v>1.6465177044763486E-2</v>
      </c>
      <c r="H92" s="73">
        <f t="shared" si="8"/>
        <v>112.01086812678292</v>
      </c>
      <c r="I92" s="73">
        <f t="shared" si="5"/>
        <v>112.01086812678292</v>
      </c>
      <c r="J92" s="73">
        <f t="shared" si="9"/>
        <v>1.3566090510701208E-2</v>
      </c>
      <c r="K92" s="73">
        <f t="shared" si="10"/>
        <v>0.78814460141660581</v>
      </c>
      <c r="M92" s="56"/>
      <c r="N92" s="57"/>
      <c r="O92" s="58" t="b">
        <f t="shared" si="11"/>
        <v>0</v>
      </c>
      <c r="T92" s="85">
        <f>$U$37-$B$38/100</f>
        <v>138.84743999999998</v>
      </c>
      <c r="U92" s="28">
        <f>$X$37</f>
        <v>5.3597461624217482E-3</v>
      </c>
    </row>
    <row r="93" spans="5:21" ht="15" x14ac:dyDescent="0.2">
      <c r="E93" s="72">
        <v>1.00000000000001</v>
      </c>
      <c r="F93" s="73">
        <f t="shared" si="6"/>
        <v>115.40071777928877</v>
      </c>
      <c r="G93" s="73">
        <f t="shared" si="7"/>
        <v>1.3752871911103588E-2</v>
      </c>
      <c r="H93" s="73">
        <f t="shared" si="8"/>
        <v>116.36415157911341</v>
      </c>
      <c r="I93" s="73">
        <f t="shared" si="5"/>
        <v>116.36415157911341</v>
      </c>
      <c r="J93" s="73">
        <f t="shared" si="9"/>
        <v>1.0907435646587967E-2</v>
      </c>
      <c r="K93" s="73">
        <f t="shared" si="10"/>
        <v>0.84134474606854492</v>
      </c>
      <c r="M93" s="56"/>
      <c r="N93" s="57"/>
      <c r="O93" s="58" t="b">
        <f t="shared" si="11"/>
        <v>0</v>
      </c>
      <c r="T93" s="85">
        <f>$U$37+$B$38/100</f>
        <v>138.92855999999998</v>
      </c>
      <c r="U93" s="28">
        <f>$X$38</f>
        <v>5.3597461624217482E-3</v>
      </c>
    </row>
    <row r="94" spans="5:21" ht="15" x14ac:dyDescent="0.2">
      <c r="E94" s="72">
        <v>1.2000000000000099</v>
      </c>
      <c r="F94" s="73">
        <f t="shared" si="6"/>
        <v>118.91955698732039</v>
      </c>
      <c r="G94" s="73">
        <f t="shared" si="7"/>
        <v>1.1036938234630768E-2</v>
      </c>
      <c r="H94" s="73">
        <f t="shared" si="8"/>
        <v>120.88662465681919</v>
      </c>
      <c r="I94" s="73">
        <f t="shared" si="5"/>
        <v>120.88662465681919</v>
      </c>
      <c r="J94" s="73">
        <f t="shared" si="9"/>
        <v>8.425949058355477E-3</v>
      </c>
      <c r="K94" s="73">
        <f t="shared" si="10"/>
        <v>0.88493032977829322</v>
      </c>
      <c r="M94" s="56"/>
      <c r="N94" s="57"/>
      <c r="O94" s="58" t="b">
        <f t="shared" si="11"/>
        <v>0</v>
      </c>
      <c r="T94" s="85">
        <f>$U$38-$B$38/100</f>
        <v>142.90343999999999</v>
      </c>
      <c r="U94" s="28">
        <f>$X$38</f>
        <v>5.3597461624217482E-3</v>
      </c>
    </row>
    <row r="95" spans="5:21" ht="15" x14ac:dyDescent="0.2">
      <c r="E95" s="72">
        <v>1.4000000000000099</v>
      </c>
      <c r="F95" s="73">
        <f t="shared" si="6"/>
        <v>122.43839619535203</v>
      </c>
      <c r="G95" s="73">
        <f t="shared" si="7"/>
        <v>8.5100487282280448E-3</v>
      </c>
      <c r="H95" s="73">
        <f t="shared" si="8"/>
        <v>125.58486288608614</v>
      </c>
      <c r="I95" s="73">
        <f t="shared" si="5"/>
        <v>125.58486288608614</v>
      </c>
      <c r="J95" s="73">
        <f t="shared" si="9"/>
        <v>6.253788933748416E-3</v>
      </c>
      <c r="K95" s="73">
        <f t="shared" si="10"/>
        <v>0.91924334076623082</v>
      </c>
      <c r="M95" s="56"/>
      <c r="N95" s="57"/>
      <c r="O95" s="58" t="b">
        <f t="shared" si="11"/>
        <v>0</v>
      </c>
      <c r="T95" s="85">
        <f>$U$38+$B$38/100</f>
        <v>142.98455999999999</v>
      </c>
      <c r="U95" s="28">
        <f>$X$39</f>
        <v>5.3597461624217482E-3</v>
      </c>
    </row>
    <row r="96" spans="5:21" ht="15" x14ac:dyDescent="0.2">
      <c r="E96" s="72">
        <v>1.6000000000000101</v>
      </c>
      <c r="F96" s="73">
        <f t="shared" si="6"/>
        <v>125.95723540338366</v>
      </c>
      <c r="G96" s="73">
        <f t="shared" si="7"/>
        <v>6.3043991567605989E-3</v>
      </c>
      <c r="H96" s="73">
        <f t="shared" si="8"/>
        <v>130.46569734981321</v>
      </c>
      <c r="I96" s="73">
        <f t="shared" si="5"/>
        <v>130.46569734981321</v>
      </c>
      <c r="J96" s="73">
        <f t="shared" si="9"/>
        <v>4.4595992206808172E-3</v>
      </c>
      <c r="K96" s="73">
        <f t="shared" si="10"/>
        <v>0.94520070830044334</v>
      </c>
      <c r="M96" s="56"/>
      <c r="N96" s="57"/>
      <c r="O96" s="58" t="b">
        <f t="shared" si="11"/>
        <v>0</v>
      </c>
      <c r="T96" s="85">
        <f>$U$39-$B$38/100</f>
        <v>146.95944</v>
      </c>
      <c r="U96" s="28">
        <f>$X$39</f>
        <v>5.3597461624217482E-3</v>
      </c>
    </row>
    <row r="97" spans="5:21" ht="15" x14ac:dyDescent="0.2">
      <c r="E97" s="72">
        <v>1.80000000000001</v>
      </c>
      <c r="F97" s="73">
        <f t="shared" si="6"/>
        <v>129.4760746114153</v>
      </c>
      <c r="G97" s="73">
        <f t="shared" si="7"/>
        <v>4.4872842226318039E-3</v>
      </c>
      <c r="H97" s="73">
        <f t="shared" si="8"/>
        <v>135.53622461978171</v>
      </c>
      <c r="I97" s="73">
        <f t="shared" si="5"/>
        <v>135.53622461978171</v>
      </c>
      <c r="J97" s="73">
        <f t="shared" si="9"/>
        <v>3.0554604239005543E-3</v>
      </c>
      <c r="K97" s="73">
        <f t="shared" si="10"/>
        <v>0.96406968088707512</v>
      </c>
      <c r="M97" s="56"/>
      <c r="N97" s="57"/>
      <c r="O97" s="58" t="b">
        <f t="shared" si="11"/>
        <v>0</v>
      </c>
      <c r="T97" s="85">
        <f>$U$39+$B$38/100</f>
        <v>147.04056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132.99491381944691</v>
      </c>
      <c r="G98" s="73">
        <f t="shared" si="7"/>
        <v>3.0686805120253564E-3</v>
      </c>
      <c r="H98" s="73">
        <f t="shared" si="8"/>
        <v>140.80381707483528</v>
      </c>
      <c r="I98" s="73">
        <f t="shared" si="5"/>
        <v>140.80381707483528</v>
      </c>
      <c r="J98" s="73">
        <f t="shared" si="9"/>
        <v>2.0113410417464854E-3</v>
      </c>
      <c r="K98" s="73">
        <f t="shared" si="10"/>
        <v>0.97724986805182146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136.51375302747854</v>
      </c>
      <c r="G99" s="73">
        <f t="shared" si="7"/>
        <v>2.0162667714546962E-3</v>
      </c>
      <c r="H99" s="73">
        <f t="shared" si="8"/>
        <v>146.27613362007492</v>
      </c>
      <c r="I99" s="73">
        <f t="shared" si="5"/>
        <v>146.27613362007492</v>
      </c>
      <c r="J99" s="73">
        <f t="shared" si="9"/>
        <v>1.2721050859494517E-3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140.03259223551018</v>
      </c>
      <c r="G100" s="73">
        <f t="shared" si="7"/>
        <v>1.2728362377983963E-3</v>
      </c>
      <c r="H100" s="73">
        <f t="shared" si="8"/>
        <v>151.96113082265344</v>
      </c>
      <c r="I100" s="73">
        <f t="shared" si="5"/>
        <v>151.96113082265344</v>
      </c>
      <c r="J100" s="73">
        <f t="shared" si="9"/>
        <v>7.7301599997890713E-4</v>
      </c>
      <c r="K100" s="73">
        <f t="shared" si="10"/>
        <v>0.99180246407540418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143.55143144354179</v>
      </c>
      <c r="G101" s="73">
        <f t="shared" si="7"/>
        <v>7.7201420301800823E-4</v>
      </c>
      <c r="H101" s="73">
        <f t="shared" si="8"/>
        <v>157.86707448036094</v>
      </c>
      <c r="I101" s="73">
        <f t="shared" si="5"/>
        <v>157.86707448036094</v>
      </c>
      <c r="J101" s="73">
        <f t="shared" si="9"/>
        <v>4.513175251248535E-4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147.07027065157342</v>
      </c>
      <c r="G102" s="73">
        <f t="shared" si="7"/>
        <v>4.4988992761664157E-4</v>
      </c>
      <c r="H102" s="73">
        <f t="shared" si="8"/>
        <v>164.00255163982106</v>
      </c>
      <c r="I102" s="73">
        <f t="shared" si="5"/>
        <v>164.00255163982106</v>
      </c>
      <c r="J102" s="73">
        <f t="shared" si="9"/>
        <v>2.5316527348050638E-4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150.58910985960506</v>
      </c>
      <c r="G103" s="73">
        <f t="shared" si="7"/>
        <v>2.5189263560678376E-4</v>
      </c>
      <c r="H103" s="73">
        <f t="shared" si="8"/>
        <v>170.37648308177276</v>
      </c>
      <c r="I103" s="73">
        <f t="shared" si="5"/>
        <v>170.37648308177276</v>
      </c>
      <c r="J103" s="73">
        <f t="shared" si="9"/>
        <v>1.3644395196784975E-4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154.1079490676367</v>
      </c>
      <c r="G104" s="73">
        <f t="shared" si="7"/>
        <v>1.3550424219573121E-4</v>
      </c>
      <c r="H104" s="73">
        <f t="shared" si="8"/>
        <v>176.99813629159016</v>
      </c>
      <c r="I104" s="73">
        <f t="shared" si="5"/>
        <v>176.99813629159016</v>
      </c>
      <c r="J104" s="73">
        <f t="shared" si="9"/>
        <v>7.0653335081781172E-5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157.62678827566833</v>
      </c>
      <c r="G105" s="73">
        <f t="shared" si="7"/>
        <v>7.0035548408149773E-5</v>
      </c>
      <c r="H105" s="73">
        <f t="shared" si="8"/>
        <v>183.8771389338996</v>
      </c>
      <c r="I105" s="73">
        <f t="shared" si="5"/>
        <v>183.8771389338996</v>
      </c>
      <c r="J105" s="73">
        <f t="shared" si="9"/>
        <v>3.5151127881127172E-5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161.14562748369994</v>
      </c>
      <c r="G106" s="73">
        <f t="shared" si="7"/>
        <v>3.4778624082459103E-5</v>
      </c>
      <c r="H106" s="73">
        <f t="shared" si="8"/>
        <v>191.02349285088542</v>
      </c>
      <c r="I106" s="73">
        <f t="shared" si="5"/>
        <v>191.02349285088542</v>
      </c>
      <c r="J106" s="73">
        <f t="shared" si="9"/>
        <v>1.6802506926521718E-5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164.66446669173158</v>
      </c>
      <c r="G107" s="73">
        <f t="shared" si="7"/>
        <v>1.659336551241616E-5</v>
      </c>
      <c r="H107" s="73">
        <f t="shared" si="8"/>
        <v>198.44758860463747</v>
      </c>
      <c r="I107" s="73">
        <f t="shared" si="5"/>
        <v>198.44758860463747</v>
      </c>
      <c r="J107" s="73">
        <f t="shared" si="9"/>
        <v>7.7167978273819308E-6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168.18330589976318</v>
      </c>
      <c r="G108" s="73">
        <f t="shared" si="7"/>
        <v>7.6064984986763662E-6</v>
      </c>
      <c r="H108" s="73">
        <f t="shared" si="8"/>
        <v>206.16022058468448</v>
      </c>
      <c r="I108" s="73">
        <f t="shared" si="5"/>
        <v>206.16022058468448</v>
      </c>
      <c r="J108" s="73">
        <f t="shared" si="9"/>
        <v>3.4050883298497161E-6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171.70214510779482</v>
      </c>
      <c r="G109" s="73">
        <f t="shared" si="7"/>
        <v>3.3501427187694245E-6</v>
      </c>
      <c r="H109" s="73">
        <f t="shared" si="8"/>
        <v>214.17260270267926</v>
      </c>
      <c r="I109" s="73">
        <f t="shared" si="5"/>
        <v>214.17260270267926</v>
      </c>
      <c r="J109" s="73">
        <f t="shared" si="9"/>
        <v>1.4436032890909118E-6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175.22098431582646</v>
      </c>
      <c r="G110" s="73">
        <f t="shared" si="7"/>
        <v>1.4176533689361048E-6</v>
      </c>
      <c r="H110" s="73">
        <f t="shared" si="8"/>
        <v>222.49638469705511</v>
      </c>
      <c r="I110" s="73">
        <f t="shared" si="5"/>
        <v>222.49638469705511</v>
      </c>
      <c r="J110" s="73">
        <f t="shared" si="9"/>
        <v>5.88024693553472E-7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178.73982352385809</v>
      </c>
      <c r="G111" s="73">
        <f t="shared" si="7"/>
        <v>5.7637484783846386E-7</v>
      </c>
      <c r="H111" s="73">
        <f t="shared" si="8"/>
        <v>231.14366907135991</v>
      </c>
      <c r="I111" s="73">
        <f t="shared" si="5"/>
        <v>231.14366907135991</v>
      </c>
      <c r="J111" s="73">
        <f t="shared" si="9"/>
        <v>2.3012907209742568E-7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182.25866273188973</v>
      </c>
      <c r="G112" s="73">
        <f t="shared" si="7"/>
        <v>2.2514805916623543E-7</v>
      </c>
      <c r="H112" s="73">
        <f t="shared" si="8"/>
        <v>240.12702869089583</v>
      </c>
      <c r="I112" s="73">
        <f t="shared" si="5"/>
        <v>240.12702869089583</v>
      </c>
      <c r="J112" s="73">
        <f t="shared" si="9"/>
        <v>8.6531778350612413E-8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185.77750193992119</v>
      </c>
      <c r="G113" s="73">
        <f t="shared" si="7"/>
        <v>8.4500565489943756E-8</v>
      </c>
      <c r="H113" s="73">
        <f t="shared" si="8"/>
        <v>249.45952506324883</v>
      </c>
      <c r="I113" s="73">
        <f t="shared" si="5"/>
        <v>249.45952506324883</v>
      </c>
      <c r="J113" s="73">
        <f t="shared" si="9"/>
        <v>3.126136899753344E-8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0.2546835156231344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-8.3433194139036715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2.6339001636795198E-3</v>
      </c>
      <c r="H120" s="69" t="s">
        <v>50</v>
      </c>
      <c r="I120" s="79">
        <f>IF($B$9&gt;3,INDEX(XX!$C$4:$C$150,$B$9))</f>
        <v>0.28160000000000002</v>
      </c>
      <c r="J120" s="79">
        <f>IF($B$9&gt;3,INDEX(XX!$D$4:$D$150,$B$9))</f>
        <v>0.36459999999999998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48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42696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(2018)0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topLeftCell="B34" zoomScale="75" workbookViewId="0">
      <selection activeCell="M3" sqref="M3:N37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127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37540</v>
      </c>
      <c r="N3" s="57">
        <v>0.02</v>
      </c>
      <c r="O3" s="58">
        <f t="shared" ref="O3:O66" si="0">IF($N3&gt;0,LN($N3+$B$26))</f>
        <v>1.5085119938441398</v>
      </c>
      <c r="T3" s="69" t="s">
        <v>109</v>
      </c>
      <c r="U3" s="82">
        <f>$B$21</f>
        <v>14.767388148924354</v>
      </c>
      <c r="V3" s="82">
        <f t="shared" ref="V3:V10" si="1">U3</f>
        <v>14.767388148924354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37677</v>
      </c>
      <c r="N4" s="57">
        <v>4.71</v>
      </c>
      <c r="O4" s="58">
        <f t="shared" si="0"/>
        <v>2.2202898502672155</v>
      </c>
      <c r="T4" s="69" t="s">
        <v>111</v>
      </c>
      <c r="U4" s="82">
        <f>$B$31</f>
        <v>14.841712917794414</v>
      </c>
      <c r="V4" s="82">
        <f t="shared" si="1"/>
        <v>14.841712917794414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37852</v>
      </c>
      <c r="N5" s="57">
        <v>14.03</v>
      </c>
      <c r="O5" s="58">
        <f t="shared" si="0"/>
        <v>2.9193910402972683</v>
      </c>
      <c r="T5" s="69" t="s">
        <v>110</v>
      </c>
      <c r="U5" s="82">
        <f>$B$22</f>
        <v>16.234438552568697</v>
      </c>
      <c r="V5" s="82">
        <f t="shared" si="1"/>
        <v>16.234438552568697</v>
      </c>
    </row>
    <row r="6" spans="1:24" ht="15" customHeight="1" x14ac:dyDescent="0.2">
      <c r="A6" s="107" t="s">
        <v>18</v>
      </c>
      <c r="B6" s="20">
        <v>13</v>
      </c>
      <c r="C6" s="18"/>
      <c r="M6" s="56">
        <v>38264</v>
      </c>
      <c r="N6" s="57">
        <v>14.48</v>
      </c>
      <c r="O6" s="58">
        <f t="shared" si="0"/>
        <v>2.9433857931817817</v>
      </c>
      <c r="T6" s="69" t="s">
        <v>29</v>
      </c>
      <c r="U6" s="82">
        <f>$B$32</f>
        <v>17.75203963730965</v>
      </c>
      <c r="V6" s="82">
        <f t="shared" si="1"/>
        <v>17.75203963730965</v>
      </c>
    </row>
    <row r="7" spans="1:24" ht="15" customHeight="1" x14ac:dyDescent="0.2">
      <c r="D7" s="4"/>
      <c r="F7" s="5"/>
      <c r="M7" s="56">
        <v>38421</v>
      </c>
      <c r="N7" s="57">
        <v>3.83</v>
      </c>
      <c r="O7" s="58">
        <f t="shared" si="0"/>
        <v>2.1198634561787513</v>
      </c>
      <c r="T7" s="69" t="s">
        <v>31</v>
      </c>
      <c r="U7" s="82">
        <f>$C$21</f>
        <v>-0.92853100606721384</v>
      </c>
      <c r="V7" s="82">
        <f t="shared" si="1"/>
        <v>-0.92853100606721384</v>
      </c>
    </row>
    <row r="8" spans="1:24" ht="15" customHeight="1" x14ac:dyDescent="0.25">
      <c r="A8" s="157" t="s">
        <v>12</v>
      </c>
      <c r="B8" s="157"/>
      <c r="C8" s="157"/>
      <c r="D8" s="4"/>
      <c r="M8" s="56">
        <v>38631</v>
      </c>
      <c r="N8" s="57">
        <v>11.17</v>
      </c>
      <c r="O8" s="58">
        <f t="shared" si="0"/>
        <v>2.7517480563679295</v>
      </c>
      <c r="T8" s="69" t="s">
        <v>32</v>
      </c>
      <c r="U8" s="82">
        <f>$C$31</f>
        <v>1.7265297960997441</v>
      </c>
      <c r="V8" s="82">
        <f t="shared" si="1"/>
        <v>1.7265297960997441</v>
      </c>
    </row>
    <row r="9" spans="1:24" ht="15" customHeight="1" x14ac:dyDescent="0.2">
      <c r="A9" s="101" t="s">
        <v>11</v>
      </c>
      <c r="B9" s="59">
        <f>COUNT($M$3:$M252)</f>
        <v>35</v>
      </c>
      <c r="C9" s="60"/>
      <c r="D9" s="4"/>
      <c r="M9" s="56">
        <v>38747</v>
      </c>
      <c r="N9" s="57">
        <v>6.72</v>
      </c>
      <c r="O9" s="58">
        <f t="shared" si="0"/>
        <v>2.41769790009455</v>
      </c>
      <c r="T9" s="69" t="s">
        <v>112</v>
      </c>
      <c r="U9" s="82">
        <f>$C$22</f>
        <v>-2.3955814097115553</v>
      </c>
      <c r="V9" s="82">
        <f t="shared" si="1"/>
        <v>-2.3955814097115553</v>
      </c>
    </row>
    <row r="10" spans="1:24" ht="15" customHeight="1" x14ac:dyDescent="0.2">
      <c r="A10" s="102" t="s">
        <v>7</v>
      </c>
      <c r="B10" s="61">
        <f>MIN($N$3:$N$252)</f>
        <v>0</v>
      </c>
      <c r="C10" s="60"/>
      <c r="D10" s="4"/>
      <c r="M10" s="56">
        <v>38944</v>
      </c>
      <c r="N10" s="57">
        <v>0.02</v>
      </c>
      <c r="O10" s="58">
        <f t="shared" si="0"/>
        <v>1.5085119938441398</v>
      </c>
      <c r="T10" s="69" t="s">
        <v>113</v>
      </c>
      <c r="U10" s="82">
        <f>$C$32</f>
        <v>1.6009331160809055</v>
      </c>
      <c r="V10" s="82">
        <f t="shared" si="1"/>
        <v>1.6009331160809055</v>
      </c>
    </row>
    <row r="11" spans="1:24" ht="15" customHeight="1" x14ac:dyDescent="0.2">
      <c r="A11" s="102" t="s">
        <v>8</v>
      </c>
      <c r="B11" s="61">
        <f>MAX($N$3:$N$252)</f>
        <v>18</v>
      </c>
      <c r="C11" s="60"/>
      <c r="D11" s="4"/>
      <c r="M11" s="56">
        <v>39318</v>
      </c>
      <c r="N11" s="57">
        <v>13</v>
      </c>
      <c r="O11" s="58">
        <f t="shared" si="0"/>
        <v>2.8622008809294686</v>
      </c>
      <c r="T11" s="69" t="s">
        <v>68</v>
      </c>
      <c r="U11" s="82">
        <f>$B$12</f>
        <v>6.4</v>
      </c>
      <c r="V11" s="82">
        <f>U11</f>
        <v>6.4</v>
      </c>
    </row>
    <row r="12" spans="1:24" ht="15" customHeight="1" x14ac:dyDescent="0.2">
      <c r="A12" s="102" t="s">
        <v>68</v>
      </c>
      <c r="B12" s="62">
        <f>MEDIAN($N$3:$N$252)</f>
        <v>6.4</v>
      </c>
      <c r="C12" s="50"/>
      <c r="D12" s="4"/>
      <c r="M12" s="56">
        <v>39492</v>
      </c>
      <c r="N12" s="57">
        <v>9.4</v>
      </c>
      <c r="O12" s="58">
        <f t="shared" si="0"/>
        <v>2.631888840136646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39723</v>
      </c>
      <c r="N13" s="57">
        <v>18</v>
      </c>
      <c r="O13" s="58">
        <f t="shared" si="0"/>
        <v>3.1135153092103742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39842</v>
      </c>
      <c r="N14" s="57">
        <v>11</v>
      </c>
      <c r="O14" s="58">
        <f t="shared" si="0"/>
        <v>2.7408400239252009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40198</v>
      </c>
      <c r="N15" s="57">
        <v>0</v>
      </c>
      <c r="O15" s="58" t="b">
        <f t="shared" si="0"/>
        <v>0</v>
      </c>
      <c r="T15" s="69">
        <v>1</v>
      </c>
      <c r="U15" s="77">
        <f t="shared" ref="U15:U39" si="3">$B$36+T15*$B$38</f>
        <v>0.75600000000000012</v>
      </c>
      <c r="V15" s="84">
        <f>FREQUENCY($N$3:$N$252,$U$15:$U$39)</f>
        <v>3</v>
      </c>
      <c r="W15" s="79">
        <f t="shared" ref="W15:W39" si="4">(U15+U14)/2</f>
        <v>0.37800000000000006</v>
      </c>
      <c r="X15" s="80">
        <f t="shared" si="2"/>
        <v>0.11337868480725621</v>
      </c>
    </row>
    <row r="16" spans="1:24" ht="15" customHeight="1" x14ac:dyDescent="0.2">
      <c r="A16" s="101" t="s">
        <v>73</v>
      </c>
      <c r="B16" s="63">
        <f>AVERAGE($N$3:$N$252)</f>
        <v>6.9194285714285702</v>
      </c>
      <c r="C16" s="60"/>
      <c r="M16" s="56">
        <v>40329</v>
      </c>
      <c r="N16" s="57">
        <v>4</v>
      </c>
      <c r="O16" s="58">
        <f t="shared" si="0"/>
        <v>2.1400661634962708</v>
      </c>
      <c r="T16" s="69">
        <v>2</v>
      </c>
      <c r="U16" s="77">
        <f t="shared" si="3"/>
        <v>1.5120000000000002</v>
      </c>
      <c r="V16" s="84">
        <f t="array" ref="V16:V40">FREQUENCY($N$3:$N$252,$U$15:$U$39)</f>
        <v>3</v>
      </c>
      <c r="W16" s="79">
        <f t="shared" si="4"/>
        <v>1.1340000000000001</v>
      </c>
      <c r="X16" s="80">
        <f t="shared" si="2"/>
        <v>0.11337868480725621</v>
      </c>
    </row>
    <row r="17" spans="1:24" ht="15" customHeight="1" x14ac:dyDescent="0.2">
      <c r="A17" s="102" t="s">
        <v>75</v>
      </c>
      <c r="B17" s="62">
        <f>STDEV($N$3:$N$252)</f>
        <v>4.0041345858390711</v>
      </c>
      <c r="C17" s="60"/>
      <c r="D17" s="4"/>
      <c r="M17" s="56">
        <v>40409</v>
      </c>
      <c r="N17" s="57">
        <v>6.8</v>
      </c>
      <c r="O17" s="58">
        <f t="shared" si="0"/>
        <v>2.4248027257182949</v>
      </c>
      <c r="T17" s="69">
        <v>3</v>
      </c>
      <c r="U17" s="77">
        <f t="shared" si="3"/>
        <v>2.2680000000000002</v>
      </c>
      <c r="V17" s="84">
        <v>0</v>
      </c>
      <c r="W17" s="79">
        <f t="shared" si="4"/>
        <v>1.8900000000000001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0.13595449493970643</v>
      </c>
      <c r="C18" s="114" t="s">
        <v>45</v>
      </c>
      <c r="D18" s="4"/>
      <c r="J18" s="6"/>
      <c r="M18" s="56">
        <v>40487</v>
      </c>
      <c r="N18" s="57">
        <v>5.5</v>
      </c>
      <c r="O18" s="58">
        <f t="shared" si="0"/>
        <v>2.3025850929940459</v>
      </c>
      <c r="T18" s="69">
        <v>4</v>
      </c>
      <c r="U18" s="77">
        <f t="shared" si="3"/>
        <v>3.0240000000000005</v>
      </c>
      <c r="V18" s="84">
        <v>0</v>
      </c>
      <c r="W18" s="79">
        <f t="shared" si="4"/>
        <v>2.6460000000000004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40639</v>
      </c>
      <c r="N19" s="57">
        <v>3.9</v>
      </c>
      <c r="O19" s="58">
        <f t="shared" si="0"/>
        <v>2.1282317058492679</v>
      </c>
      <c r="T19" s="69">
        <v>5</v>
      </c>
      <c r="U19" s="77">
        <f t="shared" si="3"/>
        <v>3.7800000000000007</v>
      </c>
      <c r="V19" s="84">
        <v>0</v>
      </c>
      <c r="W19" s="79">
        <f t="shared" si="4"/>
        <v>3.4020000000000006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40744</v>
      </c>
      <c r="N20" s="57">
        <v>6.9</v>
      </c>
      <c r="O20" s="58">
        <f t="shared" si="0"/>
        <v>2.4336133554004498</v>
      </c>
      <c r="T20" s="69">
        <v>6</v>
      </c>
      <c r="U20" s="77">
        <f t="shared" si="3"/>
        <v>4.5360000000000005</v>
      </c>
      <c r="V20" s="84">
        <v>0</v>
      </c>
      <c r="W20" s="79">
        <f t="shared" si="4"/>
        <v>4.1580000000000004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14.767388148924354</v>
      </c>
      <c r="C21" s="62">
        <f>NORMINV(0.025,$B$16,$B$17)</f>
        <v>-0.92853100606721384</v>
      </c>
      <c r="D21" s="4"/>
      <c r="M21" s="56">
        <v>40799</v>
      </c>
      <c r="N21" s="57">
        <v>6.4</v>
      </c>
      <c r="O21" s="58">
        <f t="shared" si="0"/>
        <v>2.388762789235098</v>
      </c>
      <c r="T21" s="69">
        <v>7</v>
      </c>
      <c r="U21" s="77">
        <f t="shared" si="3"/>
        <v>5.2920000000000007</v>
      </c>
      <c r="V21" s="84">
        <v>5</v>
      </c>
      <c r="W21" s="79">
        <f t="shared" si="4"/>
        <v>4.9140000000000006</v>
      </c>
      <c r="X21" s="80">
        <f t="shared" si="2"/>
        <v>0.18896447467876037</v>
      </c>
    </row>
    <row r="22" spans="1:24" ht="15" customHeight="1" x14ac:dyDescent="0.2">
      <c r="A22" s="104" t="s">
        <v>77</v>
      </c>
      <c r="B22" s="62">
        <f>NORMINV(0.99,$B$16,$B$17)</f>
        <v>16.234438552568697</v>
      </c>
      <c r="C22" s="62">
        <f>NORMINV(0.01,B16,B17)</f>
        <v>-2.3955814097115553</v>
      </c>
      <c r="M22" s="56">
        <v>40898</v>
      </c>
      <c r="N22" s="57">
        <v>5.2</v>
      </c>
      <c r="O22" s="58">
        <f t="shared" si="0"/>
        <v>2.2721258855093369</v>
      </c>
      <c r="T22" s="69">
        <v>8</v>
      </c>
      <c r="U22" s="77">
        <f t="shared" si="3"/>
        <v>6.0480000000000009</v>
      </c>
      <c r="V22" s="84">
        <v>6</v>
      </c>
      <c r="W22" s="79">
        <f t="shared" si="4"/>
        <v>5.6700000000000008</v>
      </c>
      <c r="X22" s="80">
        <f t="shared" si="2"/>
        <v>0.22675736961451243</v>
      </c>
    </row>
    <row r="23" spans="1:24" ht="15" customHeight="1" x14ac:dyDescent="0.25">
      <c r="A23" s="112" t="s">
        <v>81</v>
      </c>
      <c r="B23" s="96">
        <f>MAX($B$22+0.5*$B$6,$B$6)</f>
        <v>22.734438552568697</v>
      </c>
      <c r="E23" s="144" t="s">
        <v>80</v>
      </c>
      <c r="F23" s="144"/>
      <c r="G23" s="144"/>
      <c r="M23" s="56">
        <v>40977</v>
      </c>
      <c r="N23" s="57">
        <v>4.0999999999999996</v>
      </c>
      <c r="O23" s="58">
        <f t="shared" si="0"/>
        <v>2.1517622032594619</v>
      </c>
      <c r="T23" s="69">
        <v>9</v>
      </c>
      <c r="U23" s="77">
        <f t="shared" si="3"/>
        <v>6.8040000000000012</v>
      </c>
      <c r="V23" s="84">
        <v>3</v>
      </c>
      <c r="W23" s="79">
        <f t="shared" si="4"/>
        <v>6.426000000000001</v>
      </c>
      <c r="X23" s="80">
        <f t="shared" si="2"/>
        <v>0.11337868480725621</v>
      </c>
    </row>
    <row r="24" spans="1:24" ht="15" customHeight="1" x14ac:dyDescent="0.2">
      <c r="M24" s="56">
        <v>41086</v>
      </c>
      <c r="N24" s="57">
        <v>5</v>
      </c>
      <c r="O24" s="58">
        <f t="shared" si="0"/>
        <v>2.2512917986064953</v>
      </c>
      <c r="T24" s="69">
        <v>10</v>
      </c>
      <c r="U24" s="77">
        <f t="shared" si="3"/>
        <v>7.5600000000000014</v>
      </c>
      <c r="V24" s="84">
        <v>5</v>
      </c>
      <c r="W24" s="79">
        <f t="shared" si="4"/>
        <v>7.1820000000000013</v>
      </c>
      <c r="X24" s="80">
        <f t="shared" si="2"/>
        <v>0.18896447467876037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41164</v>
      </c>
      <c r="N25" s="57">
        <v>8.3000000000000007</v>
      </c>
      <c r="O25" s="58">
        <f t="shared" si="0"/>
        <v>2.5494451709255714</v>
      </c>
      <c r="Q25" s="75" t="s">
        <v>68</v>
      </c>
      <c r="R25" s="75">
        <f>MEDIAN($O$3:$O$252)</f>
        <v>2.3978539487766932</v>
      </c>
      <c r="T25" s="69">
        <v>11</v>
      </c>
      <c r="U25" s="77">
        <f t="shared" si="3"/>
        <v>8.3160000000000007</v>
      </c>
      <c r="V25" s="84">
        <v>1</v>
      </c>
      <c r="W25" s="79">
        <f t="shared" si="4"/>
        <v>7.9380000000000006</v>
      </c>
      <c r="X25" s="80">
        <f t="shared" si="2"/>
        <v>3.7792894935752074E-2</v>
      </c>
    </row>
    <row r="26" spans="1:24" ht="15" customHeight="1" x14ac:dyDescent="0.2">
      <c r="A26" s="86" t="s">
        <v>36</v>
      </c>
      <c r="B26" s="134">
        <v>4.5</v>
      </c>
      <c r="C26" s="62"/>
      <c r="E26" s="7" t="e">
        <f>AVERAGE(C50:C199)</f>
        <v>#DIV/0!</v>
      </c>
      <c r="M26" s="56">
        <v>41248</v>
      </c>
      <c r="N26" s="57">
        <v>8.3000000000000007</v>
      </c>
      <c r="O26" s="58">
        <f t="shared" si="0"/>
        <v>2.5494451709255714</v>
      </c>
      <c r="Q26" s="75" t="s">
        <v>73</v>
      </c>
      <c r="R26" s="75">
        <f>AVERAGE($O$3:$O$252)</f>
        <v>2.3984069622877415</v>
      </c>
      <c r="T26" s="69">
        <v>12</v>
      </c>
      <c r="U26" s="77">
        <f t="shared" si="3"/>
        <v>9.072000000000001</v>
      </c>
      <c r="V26" s="84">
        <v>2</v>
      </c>
      <c r="W26" s="79">
        <f t="shared" si="4"/>
        <v>8.6940000000000008</v>
      </c>
      <c r="X26" s="80">
        <f t="shared" si="2"/>
        <v>7.5585789871504147E-2</v>
      </c>
    </row>
    <row r="27" spans="1:24" ht="15" customHeight="1" x14ac:dyDescent="0.2">
      <c r="A27" s="65" t="s">
        <v>17</v>
      </c>
      <c r="B27" s="62">
        <f>EXP($R$26)</f>
        <v>11.005630024672465</v>
      </c>
      <c r="C27" s="62"/>
      <c r="E27" s="7" t="e">
        <f>STDEV(C50:C199)</f>
        <v>#DIV/0!</v>
      </c>
      <c r="F27" s="7" t="e">
        <f>NORMINV(0.025,$E26,$E27)</f>
        <v>#DIV/0!</v>
      </c>
      <c r="M27" s="56">
        <v>41338</v>
      </c>
      <c r="N27" s="57">
        <v>4.7</v>
      </c>
      <c r="O27" s="58">
        <f t="shared" si="0"/>
        <v>2.2192034840549946</v>
      </c>
      <c r="Q27" s="75" t="s">
        <v>104</v>
      </c>
      <c r="R27" s="75">
        <f>STDEV($O$3:$O$252)</f>
        <v>0.34280077158951844</v>
      </c>
      <c r="T27" s="69">
        <v>13</v>
      </c>
      <c r="U27" s="77">
        <f t="shared" si="3"/>
        <v>9.8280000000000012</v>
      </c>
      <c r="V27" s="84">
        <v>1</v>
      </c>
      <c r="W27" s="79">
        <f t="shared" si="4"/>
        <v>9.4500000000000011</v>
      </c>
      <c r="X27" s="80">
        <f t="shared" si="2"/>
        <v>3.7792894935752074E-2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1.690714798390801E-3</v>
      </c>
      <c r="C28" s="115" t="s">
        <v>45</v>
      </c>
      <c r="F28" s="7" t="e">
        <f>NORMINV(0.01,$E$26,$E$27)</f>
        <v>#DIV/0!</v>
      </c>
      <c r="M28" s="56">
        <v>41429</v>
      </c>
      <c r="N28" s="57">
        <v>5.5</v>
      </c>
      <c r="O28" s="58">
        <f t="shared" si="0"/>
        <v>2.3025850929940459</v>
      </c>
      <c r="Q28" s="75" t="s">
        <v>108</v>
      </c>
      <c r="R28" s="75">
        <f>NORMINV(0.025,$R$26,$R$27)</f>
        <v>1.7265297960997441</v>
      </c>
      <c r="T28" s="69">
        <v>14</v>
      </c>
      <c r="U28" s="77">
        <f t="shared" si="3"/>
        <v>10.584000000000001</v>
      </c>
      <c r="V28" s="84">
        <v>2</v>
      </c>
      <c r="W28" s="79">
        <f t="shared" si="4"/>
        <v>10.206000000000001</v>
      </c>
      <c r="X28" s="80">
        <f t="shared" si="2"/>
        <v>7.5585789871504147E-2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41516</v>
      </c>
      <c r="N29" s="57">
        <v>9.5</v>
      </c>
      <c r="O29" s="58">
        <f t="shared" si="0"/>
        <v>2.6390573296152584</v>
      </c>
      <c r="Q29" s="75" t="s">
        <v>107</v>
      </c>
      <c r="R29" s="75">
        <f>NORMINV(0.01,$R$26,$R$27)</f>
        <v>1.6009331160809055</v>
      </c>
      <c r="T29" s="69">
        <v>15</v>
      </c>
      <c r="U29" s="77">
        <f t="shared" si="3"/>
        <v>11.340000000000002</v>
      </c>
      <c r="V29" s="84">
        <v>1</v>
      </c>
      <c r="W29" s="79">
        <f t="shared" si="4"/>
        <v>10.962000000000002</v>
      </c>
      <c r="X29" s="80">
        <f t="shared" si="2"/>
        <v>3.7792894935752074E-2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41617</v>
      </c>
      <c r="N30" s="57">
        <v>8.4</v>
      </c>
      <c r="O30" s="58">
        <f t="shared" si="0"/>
        <v>2.5572273113676265</v>
      </c>
      <c r="Q30" s="75" t="s">
        <v>105</v>
      </c>
      <c r="R30" s="75">
        <f>NORMINV(0.95,$R$26,$R$27)</f>
        <v>2.9622640547585237</v>
      </c>
      <c r="T30" s="69">
        <v>16</v>
      </c>
      <c r="U30" s="77">
        <f t="shared" si="3"/>
        <v>12.096000000000002</v>
      </c>
      <c r="V30" s="84">
        <v>2</v>
      </c>
      <c r="W30" s="79">
        <f t="shared" si="4"/>
        <v>11.718000000000002</v>
      </c>
      <c r="X30" s="80">
        <f t="shared" si="2"/>
        <v>7.5585789871504147E-2</v>
      </c>
    </row>
    <row r="31" spans="1:24" ht="15" customHeight="1" x14ac:dyDescent="0.2">
      <c r="A31" s="65" t="s">
        <v>98</v>
      </c>
      <c r="B31" s="62">
        <f>EXP($R30)-$B$26</f>
        <v>14.841712917794414</v>
      </c>
      <c r="C31" s="62">
        <f>NORMINV(0.025,$R$26,$R$27)</f>
        <v>1.7265297960997441</v>
      </c>
      <c r="E31" s="7" t="e">
        <f>NORMINV(0.98,$E$26,$E$27)</f>
        <v>#DIV/0!</v>
      </c>
      <c r="M31" s="56">
        <v>41696</v>
      </c>
      <c r="N31" s="57">
        <v>5.6</v>
      </c>
      <c r="O31" s="58">
        <f t="shared" si="0"/>
        <v>2.3125354238472138</v>
      </c>
      <c r="Q31" s="75" t="s">
        <v>106</v>
      </c>
      <c r="R31" s="75">
        <f>NORMINV(0.98,$R$26,$R$27)</f>
        <v>3.1024336735034632</v>
      </c>
      <c r="T31" s="69">
        <v>17</v>
      </c>
      <c r="U31" s="77">
        <f t="shared" si="3"/>
        <v>12.852000000000002</v>
      </c>
      <c r="V31" s="84">
        <v>0</v>
      </c>
      <c r="W31" s="79">
        <f t="shared" si="4"/>
        <v>12.474000000000002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17.75203963730965</v>
      </c>
      <c r="C32" s="62">
        <f>NORMINV(0.01,$R$26,$R$27)</f>
        <v>1.6009331160809055</v>
      </c>
      <c r="M32" s="56">
        <v>41813</v>
      </c>
      <c r="N32" s="57">
        <v>6.6</v>
      </c>
      <c r="O32" s="58">
        <f t="shared" si="0"/>
        <v>2.4069451083182885</v>
      </c>
      <c r="T32" s="69">
        <v>18</v>
      </c>
      <c r="U32" s="77">
        <f t="shared" si="3"/>
        <v>13.608000000000002</v>
      </c>
      <c r="V32" s="84">
        <v>0</v>
      </c>
      <c r="W32" s="79">
        <f t="shared" si="4"/>
        <v>13.230000000000002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24.25203963730965</v>
      </c>
      <c r="M33" s="56">
        <v>41886</v>
      </c>
      <c r="N33" s="57">
        <v>4.2</v>
      </c>
      <c r="O33" s="58">
        <f t="shared" si="0"/>
        <v>2.1633230256605378</v>
      </c>
      <c r="T33" s="69">
        <v>19</v>
      </c>
      <c r="U33" s="77">
        <f t="shared" si="3"/>
        <v>14.364000000000003</v>
      </c>
      <c r="V33" s="84">
        <v>1</v>
      </c>
      <c r="W33" s="79">
        <f t="shared" si="4"/>
        <v>13.986000000000002</v>
      </c>
      <c r="X33" s="80">
        <f t="shared" si="2"/>
        <v>3.7792894935752074E-2</v>
      </c>
    </row>
    <row r="34" spans="1:24" ht="15" customHeight="1" x14ac:dyDescent="0.2">
      <c r="M34" s="56">
        <v>41975</v>
      </c>
      <c r="N34" s="57">
        <v>5.2</v>
      </c>
      <c r="O34" s="58">
        <f t="shared" si="0"/>
        <v>2.2721258855093369</v>
      </c>
      <c r="T34" s="69">
        <v>20</v>
      </c>
      <c r="U34" s="77">
        <f t="shared" si="3"/>
        <v>15.120000000000003</v>
      </c>
      <c r="V34" s="84">
        <v>1</v>
      </c>
      <c r="W34" s="79">
        <f t="shared" si="4"/>
        <v>14.742000000000003</v>
      </c>
      <c r="X34" s="80">
        <f t="shared" si="2"/>
        <v>3.7792894935752074E-2</v>
      </c>
    </row>
    <row r="35" spans="1:24" ht="15" customHeight="1" x14ac:dyDescent="0.25">
      <c r="A35" s="140" t="s">
        <v>78</v>
      </c>
      <c r="B35" s="140"/>
      <c r="C35" s="140"/>
      <c r="M35" s="56">
        <v>42046</v>
      </c>
      <c r="N35" s="57">
        <v>5.0999999999999996</v>
      </c>
      <c r="O35" s="58">
        <f t="shared" si="0"/>
        <v>2.2617630984737906</v>
      </c>
      <c r="T35" s="69">
        <v>21</v>
      </c>
      <c r="U35" s="77">
        <f t="shared" si="3"/>
        <v>15.876000000000003</v>
      </c>
      <c r="V35" s="84">
        <v>1</v>
      </c>
      <c r="W35" s="79">
        <f t="shared" si="4"/>
        <v>15.498000000000003</v>
      </c>
      <c r="X35" s="80">
        <f t="shared" si="2"/>
        <v>3.7792894935752074E-2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42156</v>
      </c>
      <c r="N36" s="57">
        <v>6.6</v>
      </c>
      <c r="O36" s="58">
        <f t="shared" si="0"/>
        <v>2.4069451083182885</v>
      </c>
      <c r="T36" s="69">
        <v>22</v>
      </c>
      <c r="U36" s="77">
        <f t="shared" si="3"/>
        <v>16.632000000000001</v>
      </c>
      <c r="V36" s="84">
        <v>0</v>
      </c>
      <c r="W36" s="79">
        <f t="shared" si="4"/>
        <v>16.254000000000001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18.900000000000002</v>
      </c>
      <c r="D37" s="8"/>
      <c r="E37" s="8"/>
      <c r="M37" s="56">
        <v>42254</v>
      </c>
      <c r="N37" s="57">
        <v>10</v>
      </c>
      <c r="O37" s="58">
        <f t="shared" si="0"/>
        <v>2.6741486494265287</v>
      </c>
      <c r="T37" s="69">
        <v>23</v>
      </c>
      <c r="U37" s="77">
        <f t="shared" si="3"/>
        <v>17.388000000000002</v>
      </c>
      <c r="V37" s="84">
        <v>0</v>
      </c>
      <c r="W37" s="79">
        <f t="shared" si="4"/>
        <v>17.010000000000002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0.75600000000000012</v>
      </c>
      <c r="M38" s="56"/>
      <c r="N38" s="57"/>
      <c r="O38" s="58" t="b">
        <f t="shared" si="0"/>
        <v>0</v>
      </c>
      <c r="T38" s="69">
        <v>24</v>
      </c>
      <c r="U38" s="77">
        <f t="shared" si="3"/>
        <v>18.144000000000002</v>
      </c>
      <c r="V38" s="84">
        <v>0</v>
      </c>
      <c r="W38" s="79">
        <f t="shared" si="4"/>
        <v>17.766000000000002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18.900000000000002</v>
      </c>
      <c r="V39" s="84">
        <v>1</v>
      </c>
      <c r="W39" s="79">
        <f t="shared" si="4"/>
        <v>18.522000000000002</v>
      </c>
      <c r="X39" s="80">
        <f t="shared" si="2"/>
        <v>3.7792894935752074E-2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-7.5600000000000007E-3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7.5600000000000007E-3</v>
      </c>
      <c r="U47" s="28">
        <f>$X$15</f>
        <v>0.11337868480725621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0.74844000000000011</v>
      </c>
      <c r="U48" s="28">
        <f>$X$15</f>
        <v>0.11337868480725621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0.76356000000000013</v>
      </c>
      <c r="U49" s="28">
        <f>$X$16</f>
        <v>0.11337868480725621</v>
      </c>
    </row>
    <row r="50" spans="5:21" ht="15" x14ac:dyDescent="0.2">
      <c r="E50" s="39"/>
      <c r="M50" s="56"/>
      <c r="N50" s="57"/>
      <c r="O50" s="58" t="b">
        <f t="shared" si="0"/>
        <v>0</v>
      </c>
      <c r="T50" s="85">
        <f>$U$16-$B$38/100</f>
        <v>1.5044400000000002</v>
      </c>
      <c r="U50" s="28">
        <f>$X$16</f>
        <v>0.11337868480725621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1.5195600000000002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2.2604400000000004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2.27556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3.0164400000000007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3.0315600000000003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3.7724400000000009</v>
      </c>
      <c r="U56" s="28">
        <f>$X$19</f>
        <v>0</v>
      </c>
    </row>
    <row r="57" spans="5:21" ht="15" x14ac:dyDescent="0.2">
      <c r="E57" s="70">
        <v>1</v>
      </c>
      <c r="F57" s="74">
        <f>$B$21</f>
        <v>14.767388148924354</v>
      </c>
      <c r="G57" s="74">
        <f>$C$21</f>
        <v>-0.92853100606721384</v>
      </c>
      <c r="H57" s="74">
        <f>$B$22</f>
        <v>16.234438552568697</v>
      </c>
      <c r="I57" s="74">
        <f>$C$22</f>
        <v>-2.3955814097115553</v>
      </c>
      <c r="J57" s="74">
        <f>$B$31</f>
        <v>14.841712917794414</v>
      </c>
      <c r="K57" s="74">
        <f>$B$32</f>
        <v>17.75203963730965</v>
      </c>
      <c r="M57" s="56"/>
      <c r="N57" s="57"/>
      <c r="O57" s="58" t="b">
        <f t="shared" si="0"/>
        <v>0</v>
      </c>
      <c r="T57" s="85">
        <f>$U$19+$B$38/100</f>
        <v>3.7875600000000005</v>
      </c>
      <c r="U57" s="28">
        <f>$X$20</f>
        <v>0</v>
      </c>
    </row>
    <row r="58" spans="5:21" ht="15" x14ac:dyDescent="0.2">
      <c r="E58" s="70">
        <v>73415</v>
      </c>
      <c r="F58" s="74">
        <f>$B$21</f>
        <v>14.767388148924354</v>
      </c>
      <c r="G58" s="74">
        <f>$C$21</f>
        <v>-0.92853100606721384</v>
      </c>
      <c r="H58" s="74">
        <f>$B$22</f>
        <v>16.234438552568697</v>
      </c>
      <c r="I58" s="74">
        <f>$C$22</f>
        <v>-2.3955814097115553</v>
      </c>
      <c r="J58" s="74">
        <f>$B$31</f>
        <v>14.841712917794414</v>
      </c>
      <c r="K58" s="74">
        <f>$B$32</f>
        <v>17.75203963730965</v>
      </c>
      <c r="M58" s="56"/>
      <c r="N58" s="57"/>
      <c r="O58" s="58" t="b">
        <f t="shared" si="0"/>
        <v>0</v>
      </c>
      <c r="T58" s="85">
        <f>$U$20-$B$38/100</f>
        <v>4.5284400000000007</v>
      </c>
      <c r="U58" s="28">
        <f>$X$20</f>
        <v>0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4.5435600000000003</v>
      </c>
      <c r="U59" s="28">
        <f>$X$21</f>
        <v>0.18896447467876037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5.2844400000000009</v>
      </c>
      <c r="U60" s="28">
        <f>$X$21</f>
        <v>0.18896447467876037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5.2995600000000005</v>
      </c>
      <c r="U61" s="28">
        <f>$X$22</f>
        <v>0.22675736961451243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6.0404400000000011</v>
      </c>
      <c r="U62" s="28">
        <f>$X$22</f>
        <v>0.22675736961451243</v>
      </c>
    </row>
    <row r="63" spans="5:21" ht="15" x14ac:dyDescent="0.2">
      <c r="E63" s="72">
        <v>-5</v>
      </c>
      <c r="F63" s="73">
        <f>$B$16+$E63*$B$17</f>
        <v>-13.101244357766786</v>
      </c>
      <c r="G63" s="73">
        <f>NORMDIST($F63,$B$16,$B$17,FALSE)</f>
        <v>3.7129608979483242E-7</v>
      </c>
      <c r="H63" s="73">
        <f>EXP($R$26+$E63*$R$27)</f>
        <v>1.9825880840615988</v>
      </c>
      <c r="I63" s="73">
        <f t="shared" ref="I63:I113" si="5">H63-$B$26</f>
        <v>-2.5174119159384012</v>
      </c>
      <c r="J63" s="73">
        <f>1/$H63/SQRT(2*PI())/$R$27*EXP(-POWER(LN($H63)-$R$26,2)/2/POWER($R$27,2))</f>
        <v>2.1875337371676783E-6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6.0555600000000007</v>
      </c>
      <c r="U63" s="28">
        <f>$X$23</f>
        <v>0.11337868480725621</v>
      </c>
    </row>
    <row r="64" spans="5:21" ht="15" x14ac:dyDescent="0.2">
      <c r="E64" s="72">
        <v>-4.8</v>
      </c>
      <c r="F64" s="73">
        <f t="shared" ref="F64:F113" si="6">$B$16+$E64*$B$17</f>
        <v>-12.300417440598972</v>
      </c>
      <c r="G64" s="73">
        <f t="shared" ref="G64:G113" si="7">NORMDIST($F64,$B$16,$B$17,FALSE)</f>
        <v>9.8930218405782702E-7</v>
      </c>
      <c r="H64" s="73">
        <f t="shared" ref="H64:H113" si="8">EXP($R$26+$E64*$R$27)</f>
        <v>2.1232825390132657</v>
      </c>
      <c r="I64" s="73">
        <f t="shared" si="5"/>
        <v>-2.3767174609867343</v>
      </c>
      <c r="J64" s="73">
        <f t="shared" ref="J64:J113" si="9">1/$H64/SQRT(2*PI())/$R$27*EXP(-POWER(LN($H64)-$R$26,2)/2/POWER($R$27,2))</f>
        <v>5.4423698898382697E-6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6.7964400000000014</v>
      </c>
      <c r="U64" s="28">
        <f>$X$23</f>
        <v>0.11337868480725621</v>
      </c>
    </row>
    <row r="65" spans="5:21" ht="15" x14ac:dyDescent="0.2">
      <c r="E65" s="72">
        <v>-4.5999999999999996</v>
      </c>
      <c r="F65" s="73">
        <f t="shared" si="6"/>
        <v>-11.499590523431154</v>
      </c>
      <c r="G65" s="73">
        <f t="shared" si="7"/>
        <v>2.5325952083006049E-6</v>
      </c>
      <c r="H65" s="73">
        <f t="shared" si="8"/>
        <v>2.2739613824585798</v>
      </c>
      <c r="I65" s="73">
        <f t="shared" si="5"/>
        <v>-2.2260386175414202</v>
      </c>
      <c r="J65" s="73">
        <f t="shared" si="9"/>
        <v>1.3009169476901221E-5</v>
      </c>
      <c r="K65" s="73">
        <f t="shared" si="10"/>
        <v>2.1124547025028414E-6</v>
      </c>
      <c r="M65" s="56"/>
      <c r="N65" s="57"/>
      <c r="O65" s="58" t="b">
        <f t="shared" si="0"/>
        <v>0</v>
      </c>
      <c r="T65" s="85">
        <f>$U$23+$B$38/100</f>
        <v>6.8115600000000009</v>
      </c>
      <c r="U65" s="28">
        <f>$X$24</f>
        <v>0.18896447467876037</v>
      </c>
    </row>
    <row r="66" spans="5:21" ht="15" x14ac:dyDescent="0.2">
      <c r="E66" s="72">
        <v>-4.4000000000000004</v>
      </c>
      <c r="F66" s="73">
        <f t="shared" si="6"/>
        <v>-10.698763606263343</v>
      </c>
      <c r="G66" s="73">
        <f t="shared" si="7"/>
        <v>6.2291790536373319E-6</v>
      </c>
      <c r="H66" s="73">
        <f t="shared" si="8"/>
        <v>2.4353331569881238</v>
      </c>
      <c r="I66" s="73">
        <f t="shared" si="5"/>
        <v>-2.0646668430118762</v>
      </c>
      <c r="J66" s="73">
        <f t="shared" si="9"/>
        <v>2.9877159700897477E-5</v>
      </c>
      <c r="K66" s="73">
        <f t="shared" si="10"/>
        <v>5.4125439077038704E-6</v>
      </c>
      <c r="M66" s="56"/>
      <c r="N66" s="57"/>
      <c r="O66" s="58" t="b">
        <f t="shared" si="0"/>
        <v>0</v>
      </c>
      <c r="T66" s="85">
        <f>$U$24-$B$38/100</f>
        <v>7.5524400000000016</v>
      </c>
      <c r="U66" s="28">
        <f>$X$24</f>
        <v>0.18896447467876037</v>
      </c>
    </row>
    <row r="67" spans="5:21" ht="15" x14ac:dyDescent="0.2">
      <c r="E67" s="72">
        <v>-4.2</v>
      </c>
      <c r="F67" s="73">
        <f t="shared" si="6"/>
        <v>-9.8979366890955287</v>
      </c>
      <c r="G67" s="73">
        <f t="shared" si="7"/>
        <v>1.4720551093611222E-5</v>
      </c>
      <c r="H67" s="73">
        <f t="shared" si="8"/>
        <v>2.6081566869501449</v>
      </c>
      <c r="I67" s="73">
        <f t="shared" si="5"/>
        <v>-1.8918433130498551</v>
      </c>
      <c r="J67" s="73">
        <f t="shared" si="9"/>
        <v>6.5926081991402144E-5</v>
      </c>
      <c r="K67" s="73">
        <f t="shared" si="10"/>
        <v>1.3345749015906309E-5</v>
      </c>
      <c r="M67" s="56"/>
      <c r="N67" s="57"/>
      <c r="O67" s="58" t="b">
        <f t="shared" ref="O67:O130" si="11">IF($N67&gt;0,LN($N67+$B$26))</f>
        <v>0</v>
      </c>
      <c r="T67" s="85">
        <f>$U$24+$B$38/100</f>
        <v>7.5675600000000012</v>
      </c>
      <c r="U67" s="28">
        <f>$X$25</f>
        <v>3.7792894935752074E-2</v>
      </c>
    </row>
    <row r="68" spans="5:21" ht="15" x14ac:dyDescent="0.2">
      <c r="E68" s="72">
        <v>-4</v>
      </c>
      <c r="F68" s="73">
        <f t="shared" si="6"/>
        <v>-9.0971097719277143</v>
      </c>
      <c r="G68" s="73">
        <f t="shared" si="7"/>
        <v>3.3423008866431767E-5</v>
      </c>
      <c r="H68" s="73">
        <f t="shared" si="8"/>
        <v>2.7932446466978114</v>
      </c>
      <c r="I68" s="73">
        <f t="shared" si="5"/>
        <v>-1.7067553533021886</v>
      </c>
      <c r="J68" s="73">
        <f t="shared" si="9"/>
        <v>1.3976661421753004E-4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8.3084400000000009</v>
      </c>
      <c r="U68" s="28">
        <f>$X$25</f>
        <v>3.7792894935752074E-2</v>
      </c>
    </row>
    <row r="69" spans="5:21" ht="15" x14ac:dyDescent="0.2">
      <c r="E69" s="72">
        <v>-3.8</v>
      </c>
      <c r="F69" s="73">
        <f t="shared" si="6"/>
        <v>-8.2962828547598999</v>
      </c>
      <c r="G69" s="73">
        <f t="shared" si="7"/>
        <v>7.2911366871621387E-5</v>
      </c>
      <c r="H69" s="73">
        <f t="shared" si="8"/>
        <v>2.9914673820572961</v>
      </c>
      <c r="I69" s="73">
        <f t="shared" si="5"/>
        <v>-1.5085326179427039</v>
      </c>
      <c r="J69" s="73">
        <f t="shared" si="9"/>
        <v>2.8469369158608585E-4</v>
      </c>
      <c r="K69" s="73">
        <f t="shared" si="10"/>
        <v>7.234804392511999E-5</v>
      </c>
      <c r="M69" s="56"/>
      <c r="N69" s="57"/>
      <c r="O69" s="58" t="b">
        <f t="shared" si="11"/>
        <v>0</v>
      </c>
      <c r="T69" s="85">
        <f>$U$25+$B$38/100</f>
        <v>8.3235600000000005</v>
      </c>
      <c r="U69" s="28">
        <f>$X$26</f>
        <v>7.5585789871504147E-2</v>
      </c>
    </row>
    <row r="70" spans="5:21" ht="15" x14ac:dyDescent="0.2">
      <c r="E70" s="72">
        <v>-3.6</v>
      </c>
      <c r="F70" s="73">
        <f t="shared" si="6"/>
        <v>-7.4954559375920855</v>
      </c>
      <c r="G70" s="73">
        <f t="shared" si="7"/>
        <v>1.5281752323655903E-4</v>
      </c>
      <c r="H70" s="73">
        <f t="shared" si="8"/>
        <v>3.2037570029865239</v>
      </c>
      <c r="I70" s="73">
        <f t="shared" si="5"/>
        <v>-1.2962429970134761</v>
      </c>
      <c r="J70" s="73">
        <f t="shared" si="9"/>
        <v>5.5716068519064696E-4</v>
      </c>
      <c r="K70" s="73">
        <f t="shared" si="10"/>
        <v>1.5910859015753318E-4</v>
      </c>
      <c r="M70" s="56"/>
      <c r="N70" s="57"/>
      <c r="O70" s="58" t="b">
        <f t="shared" si="11"/>
        <v>0</v>
      </c>
      <c r="T70" s="85">
        <f>$U$26-$B$38/100</f>
        <v>9.0644400000000012</v>
      </c>
      <c r="U70" s="28">
        <f>$X$26</f>
        <v>7.5585789871504147E-2</v>
      </c>
    </row>
    <row r="71" spans="5:21" ht="15" x14ac:dyDescent="0.2">
      <c r="E71" s="72">
        <v>-3.4</v>
      </c>
      <c r="F71" s="73">
        <f t="shared" si="6"/>
        <v>-6.6946290204242711</v>
      </c>
      <c r="G71" s="73">
        <f t="shared" si="7"/>
        <v>3.0773670116655355E-4</v>
      </c>
      <c r="H71" s="73">
        <f t="shared" si="8"/>
        <v>3.431111766669634</v>
      </c>
      <c r="I71" s="73">
        <f t="shared" si="5"/>
        <v>-1.068888233330366</v>
      </c>
      <c r="J71" s="73">
        <f t="shared" si="9"/>
        <v>1.0476381486914973E-3</v>
      </c>
      <c r="K71" s="73">
        <f t="shared" si="10"/>
        <v>3.3692926567687983E-4</v>
      </c>
      <c r="M71" s="56"/>
      <c r="N71" s="57"/>
      <c r="O71" s="58" t="b">
        <f t="shared" si="11"/>
        <v>0</v>
      </c>
      <c r="T71" s="85">
        <f>$U$26+$B$38/100</f>
        <v>9.0795600000000007</v>
      </c>
      <c r="U71" s="28">
        <f>$X$27</f>
        <v>3.7792894935752074E-2</v>
      </c>
    </row>
    <row r="72" spans="5:21" ht="15" x14ac:dyDescent="0.2">
      <c r="E72" s="72">
        <v>-3.2</v>
      </c>
      <c r="F72" s="73">
        <f t="shared" si="6"/>
        <v>-5.8938021032564585</v>
      </c>
      <c r="G72" s="73">
        <f t="shared" si="7"/>
        <v>5.9540661043121549E-4</v>
      </c>
      <c r="H72" s="73">
        <f t="shared" si="8"/>
        <v>3.6746007716579423</v>
      </c>
      <c r="I72" s="73">
        <f t="shared" si="5"/>
        <v>-0.8253992283420577</v>
      </c>
      <c r="J72" s="73">
        <f t="shared" si="9"/>
        <v>1.892650247116394E-3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9.8204400000000014</v>
      </c>
      <c r="U72" s="28">
        <f>$X$27</f>
        <v>3.7792894935752074E-2</v>
      </c>
    </row>
    <row r="73" spans="5:21" ht="15" x14ac:dyDescent="0.2">
      <c r="E73" s="72">
        <v>-3</v>
      </c>
      <c r="F73" s="73">
        <f t="shared" si="6"/>
        <v>-5.0929751860886423</v>
      </c>
      <c r="G73" s="73">
        <f t="shared" si="7"/>
        <v>1.1068180444312684E-3</v>
      </c>
      <c r="H73" s="73">
        <f t="shared" si="8"/>
        <v>3.9353689851308356</v>
      </c>
      <c r="I73" s="73">
        <f t="shared" si="5"/>
        <v>-0.56463101486916445</v>
      </c>
      <c r="J73" s="73">
        <f t="shared" si="9"/>
        <v>3.2851684845404804E-3</v>
      </c>
      <c r="K73" s="73">
        <f t="shared" si="10"/>
        <v>1.3498980316300933E-3</v>
      </c>
      <c r="M73" s="56"/>
      <c r="N73" s="57"/>
      <c r="O73" s="58" t="b">
        <f t="shared" si="11"/>
        <v>0</v>
      </c>
      <c r="T73" s="85">
        <f>$U$27+$B$38/100</f>
        <v>9.835560000000001</v>
      </c>
      <c r="U73" s="28">
        <f>$X$28</f>
        <v>7.5585789871504147E-2</v>
      </c>
    </row>
    <row r="74" spans="5:21" ht="15" x14ac:dyDescent="0.2">
      <c r="E74" s="72">
        <v>-2.8</v>
      </c>
      <c r="F74" s="73">
        <f t="shared" si="6"/>
        <v>-4.2921482689208279</v>
      </c>
      <c r="G74" s="73">
        <f t="shared" si="7"/>
        <v>1.9768195632018887E-3</v>
      </c>
      <c r="H74" s="73">
        <f t="shared" si="8"/>
        <v>4.2146426269164659</v>
      </c>
      <c r="I74" s="73">
        <f t="shared" si="5"/>
        <v>-0.28535737308353415</v>
      </c>
      <c r="J74" s="73">
        <f t="shared" si="9"/>
        <v>5.4786448780734659E-3</v>
      </c>
      <c r="K74" s="73">
        <f t="shared" si="10"/>
        <v>2.5551303304279312E-3</v>
      </c>
      <c r="M74" s="56"/>
      <c r="N74" s="57"/>
      <c r="O74" s="58" t="b">
        <f t="shared" si="11"/>
        <v>0</v>
      </c>
      <c r="T74" s="85">
        <f>$U$28-$B$38/100</f>
        <v>10.576440000000002</v>
      </c>
      <c r="U74" s="28">
        <f>$X$28</f>
        <v>7.5585789871504147E-2</v>
      </c>
    </row>
    <row r="75" spans="5:21" ht="15" x14ac:dyDescent="0.2">
      <c r="E75" s="72">
        <v>-2.6</v>
      </c>
      <c r="F75" s="73">
        <f t="shared" si="6"/>
        <v>-3.4913213517530153</v>
      </c>
      <c r="G75" s="73">
        <f t="shared" si="7"/>
        <v>3.3922359357557125E-3</v>
      </c>
      <c r="H75" s="73">
        <f t="shared" si="8"/>
        <v>4.5137349355897225</v>
      </c>
      <c r="I75" s="73">
        <f t="shared" si="5"/>
        <v>1.3734935589722497E-2</v>
      </c>
      <c r="J75" s="73">
        <f t="shared" si="9"/>
        <v>8.7784304816818284E-3</v>
      </c>
      <c r="K75" s="73">
        <f t="shared" si="10"/>
        <v>4.6611880237187476E-3</v>
      </c>
      <c r="M75" s="56"/>
      <c r="N75" s="57"/>
      <c r="O75" s="58" t="b">
        <f t="shared" si="11"/>
        <v>0</v>
      </c>
      <c r="T75" s="85">
        <f>$U$28+$B$38/100</f>
        <v>10.591560000000001</v>
      </c>
      <c r="U75" s="28">
        <f>$X$29</f>
        <v>3.7792894935752074E-2</v>
      </c>
    </row>
    <row r="76" spans="5:21" ht="15" x14ac:dyDescent="0.2">
      <c r="E76" s="72">
        <v>-2.4</v>
      </c>
      <c r="F76" s="73">
        <f t="shared" si="6"/>
        <v>-2.6904944345852009</v>
      </c>
      <c r="G76" s="73">
        <f t="shared" si="7"/>
        <v>5.5928515425137989E-3</v>
      </c>
      <c r="H76" s="73">
        <f t="shared" si="8"/>
        <v>4.8340523437616172</v>
      </c>
      <c r="I76" s="73">
        <f t="shared" si="5"/>
        <v>0.33405234376161719</v>
      </c>
      <c r="J76" s="73">
        <f t="shared" si="9"/>
        <v>1.351415259542311E-2</v>
      </c>
      <c r="K76" s="73">
        <f t="shared" si="10"/>
        <v>8.1975359245961311E-3</v>
      </c>
      <c r="M76" s="56"/>
      <c r="N76" s="57"/>
      <c r="O76" s="58" t="b">
        <f t="shared" si="11"/>
        <v>0</v>
      </c>
      <c r="T76" s="85">
        <f>$U$29-$B$38/100</f>
        <v>11.332440000000002</v>
      </c>
      <c r="U76" s="28">
        <f>$X$29</f>
        <v>3.7792894935752074E-2</v>
      </c>
    </row>
    <row r="77" spans="5:21" ht="15" x14ac:dyDescent="0.2">
      <c r="E77" s="72">
        <v>-2.2000000000000002</v>
      </c>
      <c r="F77" s="73">
        <f t="shared" si="6"/>
        <v>-1.8896675174173865</v>
      </c>
      <c r="G77" s="73">
        <f t="shared" si="7"/>
        <v>8.8594906304323637E-3</v>
      </c>
      <c r="H77" s="73">
        <f t="shared" si="8"/>
        <v>5.1771010915983551</v>
      </c>
      <c r="I77" s="73">
        <f t="shared" si="5"/>
        <v>0.67710109159835508</v>
      </c>
      <c r="J77" s="73">
        <f t="shared" si="9"/>
        <v>1.9988904056121158E-2</v>
      </c>
      <c r="K77" s="73">
        <f t="shared" si="10"/>
        <v>1.3903447513498621E-2</v>
      </c>
      <c r="L77" s="16"/>
      <c r="M77" s="56"/>
      <c r="N77" s="57"/>
      <c r="O77" s="58" t="b">
        <f t="shared" si="11"/>
        <v>0</v>
      </c>
      <c r="T77" s="85">
        <f>$U$29+$B$38/100</f>
        <v>11.347560000000001</v>
      </c>
      <c r="U77" s="28">
        <f>$X$30</f>
        <v>7.5585789871504147E-2</v>
      </c>
    </row>
    <row r="78" spans="5:21" ht="15" x14ac:dyDescent="0.2">
      <c r="E78" s="72">
        <v>-2</v>
      </c>
      <c r="F78" s="73">
        <f t="shared" si="6"/>
        <v>-1.0888406002495721</v>
      </c>
      <c r="G78" s="73">
        <f t="shared" si="7"/>
        <v>1.3483804141881557E-2</v>
      </c>
      <c r="H78" s="73">
        <f t="shared" si="8"/>
        <v>5.5444943096691031</v>
      </c>
      <c r="I78" s="73">
        <f t="shared" si="5"/>
        <v>1.0444943096691031</v>
      </c>
      <c r="J78" s="73">
        <f t="shared" si="9"/>
        <v>2.8406476589250645E-2</v>
      </c>
      <c r="K78" s="73">
        <f t="shared" si="10"/>
        <v>2.2750131948179184E-2</v>
      </c>
      <c r="L78" s="16"/>
      <c r="M78" s="56"/>
      <c r="N78" s="57"/>
      <c r="O78" s="58" t="b">
        <f t="shared" si="11"/>
        <v>0</v>
      </c>
      <c r="T78" s="85">
        <f>$U$30-$B$38/100</f>
        <v>12.088440000000002</v>
      </c>
      <c r="U78" s="28">
        <f>$X$30</f>
        <v>7.5585789871504147E-2</v>
      </c>
    </row>
    <row r="79" spans="5:21" ht="15" x14ac:dyDescent="0.2">
      <c r="E79" s="72">
        <v>-1.8</v>
      </c>
      <c r="F79" s="73">
        <f t="shared" si="6"/>
        <v>-0.28801368308175768</v>
      </c>
      <c r="G79" s="73">
        <f t="shared" si="7"/>
        <v>1.9717159003622763E-2</v>
      </c>
      <c r="H79" s="73">
        <f t="shared" si="8"/>
        <v>5.9379596044283725</v>
      </c>
      <c r="I79" s="73">
        <f t="shared" si="5"/>
        <v>1.4379596044283725</v>
      </c>
      <c r="J79" s="73">
        <f t="shared" si="9"/>
        <v>3.8785909124247925E-2</v>
      </c>
      <c r="K79" s="73">
        <f t="shared" si="10"/>
        <v>3.5930319112925754E-2</v>
      </c>
      <c r="L79" s="16"/>
      <c r="M79" s="56"/>
      <c r="N79" s="57"/>
      <c r="O79" s="58" t="b">
        <f t="shared" si="11"/>
        <v>0</v>
      </c>
      <c r="T79" s="85">
        <f>$U$30+$B$38/100</f>
        <v>12.103560000000002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0.51281323408605584</v>
      </c>
      <c r="G80" s="73">
        <f t="shared" si="7"/>
        <v>2.7701575034899072E-2</v>
      </c>
      <c r="H80" s="73">
        <f t="shared" si="8"/>
        <v>6.3593471820025096</v>
      </c>
      <c r="I80" s="73">
        <f t="shared" si="5"/>
        <v>1.8593471820025096</v>
      </c>
      <c r="J80" s="73">
        <f t="shared" si="9"/>
        <v>5.0881370746909703E-2</v>
      </c>
      <c r="K80" s="73">
        <f t="shared" si="10"/>
        <v>5.4799291699557967E-2</v>
      </c>
      <c r="L80" s="16"/>
      <c r="M80" s="56"/>
      <c r="N80" s="57"/>
      <c r="O80" s="58" t="b">
        <f t="shared" si="11"/>
        <v>0</v>
      </c>
      <c r="T80" s="85">
        <f>$U$31-$B$38/100</f>
        <v>12.844440000000002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1.3136401512538711</v>
      </c>
      <c r="G81" s="73">
        <f t="shared" si="7"/>
        <v>3.7393215044586051E-2</v>
      </c>
      <c r="H81" s="73">
        <f t="shared" si="8"/>
        <v>6.8106385484810668</v>
      </c>
      <c r="I81" s="73">
        <f t="shared" si="5"/>
        <v>2.3106385484810668</v>
      </c>
      <c r="J81" s="73">
        <f t="shared" si="9"/>
        <v>6.4131566841424834E-2</v>
      </c>
      <c r="K81" s="73">
        <f t="shared" si="10"/>
        <v>8.0756659233771053E-2</v>
      </c>
      <c r="L81" s="14"/>
      <c r="M81" s="56"/>
      <c r="N81" s="57"/>
      <c r="O81" s="58" t="b">
        <f t="shared" si="11"/>
        <v>0</v>
      </c>
      <c r="T81" s="85">
        <f>$U$31+$B$38/100</f>
        <v>12.859560000000002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2.1144670684216846</v>
      </c>
      <c r="G82" s="73">
        <f t="shared" si="7"/>
        <v>4.8496385628486821E-2</v>
      </c>
      <c r="H82" s="73">
        <f t="shared" si="8"/>
        <v>7.2939558276247576</v>
      </c>
      <c r="I82" s="73">
        <f t="shared" si="5"/>
        <v>2.7939558276247576</v>
      </c>
      <c r="J82" s="73">
        <f t="shared" si="9"/>
        <v>7.7662813401733921E-2</v>
      </c>
      <c r="K82" s="73">
        <f t="shared" si="10"/>
        <v>0.1150696702217083</v>
      </c>
      <c r="L82" s="14"/>
      <c r="M82" s="56"/>
      <c r="N82" s="57"/>
      <c r="O82" s="58" t="b">
        <f t="shared" si="11"/>
        <v>0</v>
      </c>
      <c r="T82" s="85">
        <f>$U$32-$B$38/100</f>
        <v>13.600440000000003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2.915293985589499</v>
      </c>
      <c r="G83" s="73">
        <f t="shared" si="7"/>
        <v>6.0430217649249697E-2</v>
      </c>
      <c r="H83" s="73">
        <f t="shared" si="8"/>
        <v>7.8115717398049869</v>
      </c>
      <c r="I83" s="73">
        <f t="shared" si="5"/>
        <v>3.3115717398049869</v>
      </c>
      <c r="J83" s="73">
        <f t="shared" si="9"/>
        <v>9.0361328744164346E-2</v>
      </c>
      <c r="K83" s="73">
        <f t="shared" si="10"/>
        <v>0.15865525393145699</v>
      </c>
      <c r="L83" s="14"/>
      <c r="M83" s="56"/>
      <c r="N83" s="57"/>
      <c r="O83" s="58" t="b">
        <f t="shared" si="11"/>
        <v>0</v>
      </c>
      <c r="T83" s="85">
        <f>$U$32+$B$38/100</f>
        <v>13.615560000000002</v>
      </c>
      <c r="U83" s="28">
        <f>$X$33</f>
        <v>3.7792894935752074E-2</v>
      </c>
    </row>
    <row r="84" spans="5:21" ht="15" x14ac:dyDescent="0.2">
      <c r="E84" s="72">
        <v>-0.8</v>
      </c>
      <c r="F84" s="73">
        <f t="shared" si="6"/>
        <v>3.716120902757313</v>
      </c>
      <c r="G84" s="73">
        <f t="shared" si="7"/>
        <v>7.2348105826911785E-2</v>
      </c>
      <c r="H84" s="73">
        <f t="shared" si="8"/>
        <v>8.3659202890992823</v>
      </c>
      <c r="I84" s="73">
        <f t="shared" si="5"/>
        <v>3.8659202890992823</v>
      </c>
      <c r="J84" s="73">
        <f t="shared" si="9"/>
        <v>0.10101370918931304</v>
      </c>
      <c r="K84" s="73">
        <f t="shared" si="10"/>
        <v>0.21185539858339653</v>
      </c>
      <c r="M84" s="56"/>
      <c r="N84" s="57"/>
      <c r="O84" s="58" t="b">
        <f t="shared" si="11"/>
        <v>0</v>
      </c>
      <c r="T84" s="85">
        <f>$U$33-$B$38/100</f>
        <v>14.356440000000003</v>
      </c>
      <c r="U84" s="28">
        <f>$X$33</f>
        <v>3.7792894935752074E-2</v>
      </c>
    </row>
    <row r="85" spans="5:21" ht="15" x14ac:dyDescent="0.2">
      <c r="E85" s="72">
        <v>-0.6</v>
      </c>
      <c r="F85" s="73">
        <f t="shared" si="6"/>
        <v>4.516947819925127</v>
      </c>
      <c r="G85" s="73">
        <f t="shared" si="7"/>
        <v>8.3220130529646524E-2</v>
      </c>
      <c r="H85" s="73">
        <f t="shared" si="8"/>
        <v>8.9596082087969524</v>
      </c>
      <c r="I85" s="73">
        <f t="shared" si="5"/>
        <v>4.4596082087969524</v>
      </c>
      <c r="J85" s="73">
        <f t="shared" si="9"/>
        <v>0.1084941319231037</v>
      </c>
      <c r="K85" s="73">
        <f t="shared" si="10"/>
        <v>0.27425311775007361</v>
      </c>
      <c r="M85" s="56"/>
      <c r="N85" s="57"/>
      <c r="O85" s="58" t="b">
        <f t="shared" si="11"/>
        <v>0</v>
      </c>
      <c r="T85" s="85">
        <f>$U$33+$B$38/100</f>
        <v>14.371560000000002</v>
      </c>
      <c r="U85" s="28">
        <f>$X$34</f>
        <v>3.7792894935752074E-2</v>
      </c>
    </row>
    <row r="86" spans="5:21" ht="15" x14ac:dyDescent="0.2">
      <c r="E86" s="72">
        <v>-0.4</v>
      </c>
      <c r="F86" s="73">
        <f t="shared" si="6"/>
        <v>5.3177747370929414</v>
      </c>
      <c r="G86" s="73">
        <f t="shared" si="7"/>
        <v>9.1972468059824689E-2</v>
      </c>
      <c r="H86" s="73">
        <f t="shared" si="8"/>
        <v>9.5954272191355621</v>
      </c>
      <c r="I86" s="73">
        <f t="shared" si="5"/>
        <v>5.0954272191355621</v>
      </c>
      <c r="J86" s="73">
        <f t="shared" si="9"/>
        <v>0.11195935834729527</v>
      </c>
      <c r="K86" s="73">
        <f t="shared" si="10"/>
        <v>0.34457825838967571</v>
      </c>
      <c r="M86" s="56"/>
      <c r="N86" s="57"/>
      <c r="O86" s="58" t="b">
        <f t="shared" si="11"/>
        <v>0</v>
      </c>
      <c r="T86" s="85">
        <f>$U$34-$B$38/100</f>
        <v>15.112440000000003</v>
      </c>
      <c r="U86" s="28">
        <f>$X$34</f>
        <v>3.7792894935752074E-2</v>
      </c>
    </row>
    <row r="87" spans="5:21" ht="15" x14ac:dyDescent="0.2">
      <c r="E87" s="72">
        <v>-0.2</v>
      </c>
      <c r="F87" s="73">
        <f t="shared" si="6"/>
        <v>6.1186016542607558</v>
      </c>
      <c r="G87" s="73">
        <f t="shared" si="7"/>
        <v>9.7659727861897638E-2</v>
      </c>
      <c r="H87" s="73">
        <f t="shared" si="8"/>
        <v>10.276367154908284</v>
      </c>
      <c r="I87" s="73">
        <f t="shared" si="5"/>
        <v>5.776367154908284</v>
      </c>
      <c r="J87" s="73">
        <f t="shared" si="9"/>
        <v>0.11100505926350075</v>
      </c>
      <c r="K87" s="73">
        <f t="shared" si="10"/>
        <v>0.42074029056089712</v>
      </c>
      <c r="M87" s="56"/>
      <c r="N87" s="57"/>
      <c r="O87" s="58" t="b">
        <f t="shared" si="11"/>
        <v>0</v>
      </c>
      <c r="T87" s="85">
        <f>$U$34+$B$38/100</f>
        <v>15.127560000000003</v>
      </c>
      <c r="U87" s="28">
        <f>$X$35</f>
        <v>3.7792894935752074E-2</v>
      </c>
    </row>
    <row r="88" spans="5:21" ht="15" x14ac:dyDescent="0.2">
      <c r="E88" s="72">
        <v>0</v>
      </c>
      <c r="F88" s="73">
        <f t="shared" si="6"/>
        <v>6.9194285714285702</v>
      </c>
      <c r="G88" s="73">
        <f t="shared" si="7"/>
        <v>9.9632585231356277E-2</v>
      </c>
      <c r="H88" s="73">
        <f t="shared" si="8"/>
        <v>11.005630024672465</v>
      </c>
      <c r="I88" s="73">
        <f t="shared" si="5"/>
        <v>6.505630024672465</v>
      </c>
      <c r="J88" s="73">
        <f t="shared" si="9"/>
        <v>0.10574342329262983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15.868440000000003</v>
      </c>
      <c r="U88" s="28">
        <f>$X$35</f>
        <v>3.7792894935752074E-2</v>
      </c>
    </row>
    <row r="89" spans="5:21" ht="15" x14ac:dyDescent="0.2">
      <c r="E89" s="72">
        <v>0.2</v>
      </c>
      <c r="F89" s="73">
        <f t="shared" si="6"/>
        <v>7.7202554885963846</v>
      </c>
      <c r="G89" s="73">
        <f t="shared" si="7"/>
        <v>9.7659727861897638E-2</v>
      </c>
      <c r="H89" s="73">
        <f t="shared" si="8"/>
        <v>11.786645067670614</v>
      </c>
      <c r="I89" s="73">
        <f t="shared" si="5"/>
        <v>7.286645067670614</v>
      </c>
      <c r="J89" s="73">
        <f t="shared" si="9"/>
        <v>9.6781462281660791E-2</v>
      </c>
      <c r="K89" s="73">
        <f t="shared" si="10"/>
        <v>0.57925970943910288</v>
      </c>
      <c r="M89" s="56"/>
      <c r="N89" s="57"/>
      <c r="O89" s="58" t="b">
        <f t="shared" si="11"/>
        <v>0</v>
      </c>
      <c r="T89" s="85">
        <f>$U$35+$B$38/100</f>
        <v>15.883560000000003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8.521082405764199</v>
      </c>
      <c r="G90" s="73">
        <f t="shared" si="7"/>
        <v>9.1972468059824689E-2</v>
      </c>
      <c r="H90" s="73">
        <f t="shared" si="8"/>
        <v>12.623084879266473</v>
      </c>
      <c r="I90" s="73">
        <f t="shared" si="5"/>
        <v>8.1230848792664734</v>
      </c>
      <c r="J90" s="73">
        <f t="shared" si="9"/>
        <v>8.5105810885192798E-2</v>
      </c>
      <c r="K90" s="73">
        <f t="shared" si="10"/>
        <v>0.65542174161032429</v>
      </c>
      <c r="M90" s="56"/>
      <c r="N90" s="57"/>
      <c r="O90" s="58" t="b">
        <f t="shared" si="11"/>
        <v>0</v>
      </c>
      <c r="T90" s="85">
        <f>$U$36-$B$38/100</f>
        <v>16.62444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9.3219093229320134</v>
      </c>
      <c r="G91" s="73">
        <f t="shared" si="7"/>
        <v>8.3220130529646524E-2</v>
      </c>
      <c r="H91" s="73">
        <f t="shared" si="8"/>
        <v>13.518882680723369</v>
      </c>
      <c r="I91" s="73">
        <f t="shared" si="5"/>
        <v>9.0188826807233688</v>
      </c>
      <c r="J91" s="73">
        <f t="shared" si="9"/>
        <v>7.1904234835221306E-2</v>
      </c>
      <c r="K91" s="73">
        <f t="shared" si="10"/>
        <v>0.72574688224992645</v>
      </c>
      <c r="M91" s="56"/>
      <c r="N91" s="57"/>
      <c r="O91" s="58" t="b">
        <f t="shared" si="11"/>
        <v>0</v>
      </c>
      <c r="T91" s="85">
        <f>$U$36+$B$38/100</f>
        <v>16.639560000000003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10.122736240099867</v>
      </c>
      <c r="G92" s="73">
        <f t="shared" si="7"/>
        <v>7.234810582691123E-2</v>
      </c>
      <c r="H92" s="73">
        <f t="shared" si="8"/>
        <v>14.478250814533309</v>
      </c>
      <c r="I92" s="73">
        <f t="shared" si="5"/>
        <v>9.9782508145333093</v>
      </c>
      <c r="J92" s="73">
        <f t="shared" si="9"/>
        <v>5.8368421020566663E-2</v>
      </c>
      <c r="K92" s="73">
        <f t="shared" si="10"/>
        <v>0.78814460141660614</v>
      </c>
      <c r="M92" s="56"/>
      <c r="N92" s="57"/>
      <c r="O92" s="58" t="b">
        <f t="shared" si="11"/>
        <v>0</v>
      </c>
      <c r="T92" s="85">
        <f>$U$37-$B$38/100</f>
        <v>17.38044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10.923563157267681</v>
      </c>
      <c r="G93" s="73">
        <f t="shared" si="7"/>
        <v>6.0430217649249086E-2</v>
      </c>
      <c r="H93" s="73">
        <f t="shared" si="8"/>
        <v>15.505700552267641</v>
      </c>
      <c r="I93" s="73">
        <f t="shared" si="5"/>
        <v>11.005700552267641</v>
      </c>
      <c r="J93" s="73">
        <f t="shared" si="9"/>
        <v>4.5522870740974379E-2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17.395560000000003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11.724390074435496</v>
      </c>
      <c r="G94" s="73">
        <f t="shared" si="7"/>
        <v>4.8496385628486245E-2</v>
      </c>
      <c r="H94" s="73">
        <f t="shared" si="8"/>
        <v>16.606063308093258</v>
      </c>
      <c r="I94" s="73">
        <f t="shared" si="5"/>
        <v>12.106063308093258</v>
      </c>
      <c r="J94" s="73">
        <f t="shared" si="9"/>
        <v>3.4112186608684404E-2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18.13644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12.525216991603308</v>
      </c>
      <c r="G95" s="73">
        <f t="shared" si="7"/>
        <v>3.7393215044585537E-2</v>
      </c>
      <c r="H95" s="73">
        <f t="shared" si="8"/>
        <v>17.784513357706516</v>
      </c>
      <c r="I95" s="73">
        <f t="shared" si="5"/>
        <v>13.284513357706516</v>
      </c>
      <c r="J95" s="73">
        <f t="shared" si="9"/>
        <v>2.4559396848237339E-2</v>
      </c>
      <c r="K95" s="73">
        <f t="shared" si="10"/>
        <v>0.91924334076623038</v>
      </c>
      <c r="M95" s="56"/>
      <c r="N95" s="57"/>
      <c r="O95" s="58" t="b">
        <f t="shared" si="11"/>
        <v>0</v>
      </c>
      <c r="T95" s="85">
        <f>$U$38+$B$38/100</f>
        <v>18.151560000000003</v>
      </c>
      <c r="U95" s="28">
        <f>$X$39</f>
        <v>3.7792894935752074E-2</v>
      </c>
    </row>
    <row r="96" spans="5:21" ht="15" x14ac:dyDescent="0.2">
      <c r="E96" s="72">
        <v>1.6000000000000101</v>
      </c>
      <c r="F96" s="73">
        <f t="shared" si="6"/>
        <v>13.326043908771124</v>
      </c>
      <c r="G96" s="73">
        <f t="shared" si="7"/>
        <v>2.7701575034898628E-2</v>
      </c>
      <c r="H96" s="73">
        <f t="shared" si="8"/>
        <v>19.046592169517545</v>
      </c>
      <c r="I96" s="73">
        <f t="shared" si="5"/>
        <v>14.546592169517545</v>
      </c>
      <c r="J96" s="73">
        <f t="shared" si="9"/>
        <v>1.6988461704641827E-2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18.892440000000001</v>
      </c>
      <c r="U96" s="28">
        <f>$X$39</f>
        <v>3.7792894935752074E-2</v>
      </c>
    </row>
    <row r="97" spans="5:21" ht="15" x14ac:dyDescent="0.2">
      <c r="E97" s="72">
        <v>1.80000000000001</v>
      </c>
      <c r="F97" s="73">
        <f t="shared" si="6"/>
        <v>14.126870825938937</v>
      </c>
      <c r="G97" s="73">
        <f t="shared" si="7"/>
        <v>1.9717159003622416E-2</v>
      </c>
      <c r="H97" s="73">
        <f t="shared" si="8"/>
        <v>20.398234462498106</v>
      </c>
      <c r="I97" s="73">
        <f t="shared" si="5"/>
        <v>15.898234462498106</v>
      </c>
      <c r="J97" s="73">
        <f t="shared" si="9"/>
        <v>1.129064194375403E-2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18.907560000000004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14.927697743106753</v>
      </c>
      <c r="G98" s="73">
        <f t="shared" si="7"/>
        <v>1.3483804141881281E-2</v>
      </c>
      <c r="H98" s="73">
        <f t="shared" si="8"/>
        <v>21.845796113225912</v>
      </c>
      <c r="I98" s="73">
        <f t="shared" si="5"/>
        <v>17.345796113225912</v>
      </c>
      <c r="J98" s="73">
        <f t="shared" si="9"/>
        <v>7.2096044012555805E-3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15.728524660274566</v>
      </c>
      <c r="G99" s="73">
        <f t="shared" si="7"/>
        <v>8.8594906304321746E-3</v>
      </c>
      <c r="H99" s="73">
        <f t="shared" si="8"/>
        <v>23.39608404335354</v>
      </c>
      <c r="I99" s="73">
        <f t="shared" si="5"/>
        <v>18.89608404335354</v>
      </c>
      <c r="J99" s="73">
        <f t="shared" si="9"/>
        <v>4.423158030080491E-3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16.529351577442384</v>
      </c>
      <c r="G100" s="73">
        <f t="shared" si="7"/>
        <v>5.5928515425136584E-3</v>
      </c>
      <c r="H100" s="73">
        <f t="shared" si="8"/>
        <v>25.056388228043041</v>
      </c>
      <c r="I100" s="73">
        <f t="shared" si="5"/>
        <v>20.556388228043041</v>
      </c>
      <c r="J100" s="73">
        <f t="shared" si="9"/>
        <v>2.6072441260604606E-3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17.330178494610195</v>
      </c>
      <c r="G101" s="73">
        <f t="shared" si="7"/>
        <v>3.3922359357556266E-3</v>
      </c>
      <c r="H101" s="73">
        <f t="shared" si="8"/>
        <v>26.834515975880528</v>
      </c>
      <c r="I101" s="73">
        <f t="shared" si="5"/>
        <v>22.334515975880528</v>
      </c>
      <c r="J101" s="73">
        <f t="shared" si="9"/>
        <v>1.4765874063249896E-3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18.131005411778009</v>
      </c>
      <c r="G102" s="73">
        <f t="shared" si="7"/>
        <v>1.9768195632018323E-3</v>
      </c>
      <c r="H102" s="73">
        <f t="shared" si="8"/>
        <v>28.738828641466487</v>
      </c>
      <c r="I102" s="73">
        <f t="shared" si="5"/>
        <v>24.238828641466487</v>
      </c>
      <c r="J102" s="73">
        <f t="shared" si="9"/>
        <v>8.0346107800471087E-4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18.931832328945823</v>
      </c>
      <c r="G103" s="73">
        <f t="shared" si="7"/>
        <v>1.1068180444312359E-3</v>
      </c>
      <c r="H103" s="73">
        <f t="shared" si="8"/>
        <v>30.778280943316819</v>
      </c>
      <c r="I103" s="73">
        <f t="shared" si="5"/>
        <v>26.278280943316819</v>
      </c>
      <c r="J103" s="73">
        <f t="shared" si="9"/>
        <v>4.2004783141719832E-4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19.732659246113638</v>
      </c>
      <c r="G104" s="73">
        <f t="shared" si="7"/>
        <v>5.9540661043119706E-4</v>
      </c>
      <c r="H104" s="73">
        <f t="shared" si="8"/>
        <v>32.962463071960499</v>
      </c>
      <c r="I104" s="73">
        <f t="shared" si="5"/>
        <v>28.462463071960499</v>
      </c>
      <c r="J104" s="73">
        <f t="shared" si="9"/>
        <v>2.1098951384031453E-4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20.533486163281452</v>
      </c>
      <c r="G105" s="73">
        <f t="shared" si="7"/>
        <v>3.0773670116654287E-4</v>
      </c>
      <c r="H105" s="73">
        <f t="shared" si="8"/>
        <v>35.301645786240258</v>
      </c>
      <c r="I105" s="73">
        <f t="shared" si="5"/>
        <v>30.801645786240258</v>
      </c>
      <c r="J105" s="73">
        <f t="shared" si="9"/>
        <v>1.018242492418964E-4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21.334313080449263</v>
      </c>
      <c r="G106" s="73">
        <f t="shared" si="7"/>
        <v>1.5281752323655388E-4</v>
      </c>
      <c r="H106" s="73">
        <f t="shared" si="8"/>
        <v>37.806828709874509</v>
      </c>
      <c r="I106" s="73">
        <f t="shared" si="5"/>
        <v>33.306828709874509</v>
      </c>
      <c r="J106" s="73">
        <f t="shared" si="9"/>
        <v>4.7213889868050019E-5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22.135139997617081</v>
      </c>
      <c r="G107" s="73">
        <f t="shared" si="7"/>
        <v>7.2911366871618595E-5</v>
      </c>
      <c r="H107" s="73">
        <f t="shared" si="8"/>
        <v>40.489792055386872</v>
      </c>
      <c r="I107" s="73">
        <f t="shared" si="5"/>
        <v>35.989792055386872</v>
      </c>
      <c r="J107" s="73">
        <f t="shared" si="9"/>
        <v>2.103374329737797E-5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22.935966914784892</v>
      </c>
      <c r="G108" s="73">
        <f t="shared" si="7"/>
        <v>3.3423008866430459E-5</v>
      </c>
      <c r="H108" s="73">
        <f t="shared" si="8"/>
        <v>43.363152018626707</v>
      </c>
      <c r="I108" s="73">
        <f t="shared" si="5"/>
        <v>38.863152018626707</v>
      </c>
      <c r="J108" s="73">
        <f t="shared" si="9"/>
        <v>9.0030896919689043E-6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23.73679383195271</v>
      </c>
      <c r="G109" s="73">
        <f t="shared" si="7"/>
        <v>1.4720551093610566E-5</v>
      </c>
      <c r="H109" s="73">
        <f t="shared" si="8"/>
        <v>46.440420104364577</v>
      </c>
      <c r="I109" s="73">
        <f t="shared" si="5"/>
        <v>41.940420104364577</v>
      </c>
      <c r="J109" s="73">
        <f t="shared" si="9"/>
        <v>3.7024977638850526E-6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24.537620749120521</v>
      </c>
      <c r="G110" s="73">
        <f t="shared" si="7"/>
        <v>6.2291790536370659E-6</v>
      </c>
      <c r="H110" s="73">
        <f t="shared" si="8"/>
        <v>49.736066661931105</v>
      </c>
      <c r="I110" s="73">
        <f t="shared" si="5"/>
        <v>45.236066661931105</v>
      </c>
      <c r="J110" s="73">
        <f t="shared" si="9"/>
        <v>1.4629391212376318E-6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25.338447666288339</v>
      </c>
      <c r="G111" s="73">
        <f t="shared" si="7"/>
        <v>2.5325952083004706E-6</v>
      </c>
      <c r="H111" s="73">
        <f t="shared" si="8"/>
        <v>53.265588929665455</v>
      </c>
      <c r="I111" s="73">
        <f t="shared" si="5"/>
        <v>48.765588929665455</v>
      </c>
      <c r="J111" s="73">
        <f t="shared" si="9"/>
        <v>5.5537448478027435E-7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26.13927458345615</v>
      </c>
      <c r="G112" s="73">
        <f t="shared" si="7"/>
        <v>9.8930218405778128E-7</v>
      </c>
      <c r="H112" s="73">
        <f t="shared" si="8"/>
        <v>57.045583908141232</v>
      </c>
      <c r="I112" s="73">
        <f t="shared" si="5"/>
        <v>52.545583908141232</v>
      </c>
      <c r="J112" s="73">
        <f t="shared" si="9"/>
        <v>2.0256938690560924E-7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26.940101500623925</v>
      </c>
      <c r="G113" s="73">
        <f t="shared" si="7"/>
        <v>3.7129608979483242E-7</v>
      </c>
      <c r="H113" s="73">
        <f t="shared" si="8"/>
        <v>61.093826404844222</v>
      </c>
      <c r="I113" s="73">
        <f t="shared" si="5"/>
        <v>56.593826404844222</v>
      </c>
      <c r="J113" s="73">
        <f t="shared" si="9"/>
        <v>7.0988814680749899E-8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-0.13047456344922465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22.025673318099798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-3.7414053386464538E-4</v>
      </c>
      <c r="H120" s="69" t="s">
        <v>50</v>
      </c>
      <c r="I120" s="79">
        <f>IF($B$9&gt;3,INDEX(XX!$C$4:$C$150,$B$9))</f>
        <v>0.32019999999999998</v>
      </c>
      <c r="J120" s="79">
        <f>IF($B$9&gt;3,INDEX(XX!$D$4:$D$150,$B$9))</f>
        <v>0.4128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42254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51" sqref="M51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123</v>
      </c>
      <c r="B1" s="150"/>
      <c r="C1" s="150"/>
      <c r="E1" s="144" t="s">
        <v>16</v>
      </c>
      <c r="F1" s="144"/>
      <c r="G1" s="144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8" t="str">
        <f>pH!$B$3</f>
        <v>Deponie Gruselsumpf</v>
      </c>
      <c r="C3" s="158"/>
      <c r="M3" s="56">
        <v>36769</v>
      </c>
      <c r="N3" s="57">
        <v>49</v>
      </c>
      <c r="O3" s="58">
        <f t="shared" ref="O3:O66" si="0">IF($N3&gt;0,LN($N3+$B$26))</f>
        <v>3.8918202981106265</v>
      </c>
      <c r="T3" s="69" t="s">
        <v>109</v>
      </c>
      <c r="U3" s="82">
        <f>$B$21</f>
        <v>46.233543777065506</v>
      </c>
      <c r="V3" s="82">
        <f t="shared" ref="V3:V10" si="1">U3</f>
        <v>46.233543777065506</v>
      </c>
    </row>
    <row r="4" spans="1:24" ht="15" customHeight="1" x14ac:dyDescent="0.2">
      <c r="A4" s="98" t="s">
        <v>33</v>
      </c>
      <c r="B4" s="159" t="str">
        <f>pH!$B$4</f>
        <v>WG9999</v>
      </c>
      <c r="C4" s="158"/>
      <c r="M4" s="56">
        <v>39115</v>
      </c>
      <c r="N4" s="57">
        <v>22</v>
      </c>
      <c r="O4" s="58">
        <f t="shared" si="0"/>
        <v>3.0910424533583161</v>
      </c>
      <c r="T4" s="69" t="s">
        <v>111</v>
      </c>
      <c r="U4" s="82">
        <f>$B$31</f>
        <v>45.349359555885336</v>
      </c>
      <c r="V4" s="82">
        <f t="shared" si="1"/>
        <v>45.349359555885336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39318</v>
      </c>
      <c r="N5" s="57">
        <v>35</v>
      </c>
      <c r="O5" s="58">
        <f t="shared" si="0"/>
        <v>3.5553480614894135</v>
      </c>
      <c r="T5" s="69" t="s">
        <v>110</v>
      </c>
      <c r="U5" s="82">
        <f>$B$22</f>
        <v>49.481783747179207</v>
      </c>
      <c r="V5" s="82">
        <f t="shared" si="1"/>
        <v>49.481783747179207</v>
      </c>
    </row>
    <row r="6" spans="1:24" ht="15" customHeight="1" x14ac:dyDescent="0.2">
      <c r="A6" s="107" t="s">
        <v>18</v>
      </c>
      <c r="B6" s="20">
        <v>12</v>
      </c>
      <c r="C6" s="18"/>
      <c r="M6" s="56">
        <v>39492</v>
      </c>
      <c r="N6" s="57">
        <v>37</v>
      </c>
      <c r="O6" s="58">
        <f t="shared" si="0"/>
        <v>3.6109179126442243</v>
      </c>
      <c r="T6" s="69" t="s">
        <v>29</v>
      </c>
      <c r="U6" s="82">
        <f>$B$32</f>
        <v>51.297550316324262</v>
      </c>
      <c r="V6" s="82">
        <f t="shared" si="1"/>
        <v>51.297550316324262</v>
      </c>
    </row>
    <row r="7" spans="1:24" ht="15" customHeight="1" x14ac:dyDescent="0.2">
      <c r="D7" s="4"/>
      <c r="F7" s="5"/>
      <c r="M7" s="56">
        <v>39723</v>
      </c>
      <c r="N7" s="57">
        <v>58</v>
      </c>
      <c r="O7" s="58">
        <f t="shared" si="0"/>
        <v>4.0604430105464191</v>
      </c>
      <c r="T7" s="69" t="s">
        <v>31</v>
      </c>
      <c r="U7" s="82">
        <f>$C$21</f>
        <v>11.480741937220206</v>
      </c>
      <c r="V7" s="82">
        <f t="shared" si="1"/>
        <v>11.480741937220206</v>
      </c>
    </row>
    <row r="8" spans="1:24" ht="15" customHeight="1" x14ac:dyDescent="0.25">
      <c r="A8" s="140" t="s">
        <v>12</v>
      </c>
      <c r="B8" s="140"/>
      <c r="C8" s="140"/>
      <c r="D8" s="4"/>
      <c r="M8" s="56">
        <v>39842</v>
      </c>
      <c r="N8" s="57">
        <v>35</v>
      </c>
      <c r="O8" s="58">
        <f t="shared" si="0"/>
        <v>3.5553480614894135</v>
      </c>
      <c r="T8" s="69" t="s">
        <v>32</v>
      </c>
      <c r="U8" s="82">
        <f>$C$31</f>
        <v>2.7278519570304121</v>
      </c>
      <c r="V8" s="82">
        <f t="shared" si="1"/>
        <v>2.7278519570304121</v>
      </c>
    </row>
    <row r="9" spans="1:24" ht="15" customHeight="1" x14ac:dyDescent="0.2">
      <c r="A9" s="101" t="s">
        <v>11</v>
      </c>
      <c r="B9" s="59">
        <f>COUNT($M$3:$M252)</f>
        <v>35</v>
      </c>
      <c r="C9" s="60"/>
      <c r="D9" s="4"/>
      <c r="M9" s="56">
        <v>40024</v>
      </c>
      <c r="N9" s="57">
        <v>30</v>
      </c>
      <c r="O9" s="58">
        <f t="shared" si="0"/>
        <v>3.4011973816621555</v>
      </c>
      <c r="T9" s="69" t="s">
        <v>112</v>
      </c>
      <c r="U9" s="82">
        <f>$C$22</f>
        <v>8.2325019671065078</v>
      </c>
      <c r="V9" s="82">
        <f t="shared" si="1"/>
        <v>8.2325019671065078</v>
      </c>
    </row>
    <row r="10" spans="1:24" ht="15" customHeight="1" x14ac:dyDescent="0.2">
      <c r="A10" s="102" t="s">
        <v>7</v>
      </c>
      <c r="B10" s="61">
        <f>MIN($N$3:$N$252)</f>
        <v>12</v>
      </c>
      <c r="C10" s="60"/>
      <c r="D10" s="4"/>
      <c r="M10" s="56">
        <v>40198</v>
      </c>
      <c r="N10" s="57">
        <v>25</v>
      </c>
      <c r="O10" s="58">
        <f t="shared" si="0"/>
        <v>3.2188758248682006</v>
      </c>
      <c r="T10" s="69" t="s">
        <v>113</v>
      </c>
      <c r="U10" s="82">
        <f>$C$32</f>
        <v>2.6174185605751714</v>
      </c>
      <c r="V10" s="82">
        <f t="shared" si="1"/>
        <v>2.6174185605751714</v>
      </c>
    </row>
    <row r="11" spans="1:24" ht="15" customHeight="1" x14ac:dyDescent="0.2">
      <c r="A11" s="102" t="s">
        <v>8</v>
      </c>
      <c r="B11" s="61">
        <f>MAX($N$3:$N$252)</f>
        <v>58</v>
      </c>
      <c r="C11" s="60"/>
      <c r="D11" s="4"/>
      <c r="M11" s="56">
        <v>40329</v>
      </c>
      <c r="N11" s="57">
        <v>19.3</v>
      </c>
      <c r="O11" s="58">
        <f t="shared" si="0"/>
        <v>2.9601050959108397</v>
      </c>
      <c r="T11" s="69" t="s">
        <v>68</v>
      </c>
      <c r="U11" s="82">
        <f>$B$12</f>
        <v>26.6</v>
      </c>
      <c r="V11" s="82">
        <f>U11</f>
        <v>26.6</v>
      </c>
    </row>
    <row r="12" spans="1:24" ht="15" customHeight="1" x14ac:dyDescent="0.2">
      <c r="A12" s="102" t="s">
        <v>68</v>
      </c>
      <c r="B12" s="62">
        <f>MEDIAN($N$3:$N$252)</f>
        <v>26.6</v>
      </c>
      <c r="C12" s="50"/>
      <c r="D12" s="4"/>
      <c r="M12" s="56">
        <v>40409</v>
      </c>
      <c r="N12" s="57">
        <v>32</v>
      </c>
      <c r="O12" s="58">
        <f t="shared" si="0"/>
        <v>3.4657359027997265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nicht signifikant</v>
      </c>
      <c r="C13" s="50"/>
      <c r="M13" s="56">
        <v>40487</v>
      </c>
      <c r="N13" s="57">
        <v>23.4</v>
      </c>
      <c r="O13" s="58">
        <f t="shared" si="0"/>
        <v>3.1527360223636558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40639</v>
      </c>
      <c r="N14" s="57">
        <v>12</v>
      </c>
      <c r="O14" s="58">
        <f t="shared" si="0"/>
        <v>2.4849066497880004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40744</v>
      </c>
      <c r="N15" s="57">
        <v>26.6</v>
      </c>
      <c r="O15" s="58">
        <f t="shared" si="0"/>
        <v>3.2809112157876537</v>
      </c>
      <c r="T15" s="69">
        <v>1</v>
      </c>
      <c r="U15" s="77">
        <f t="shared" ref="U15:U39" si="3">$B$36+T15*$B$38</f>
        <v>2.4360000000000004</v>
      </c>
      <c r="V15" s="84">
        <f>FREQUENCY($N$3:$N$252,$U$15:$U$39)</f>
        <v>0</v>
      </c>
      <c r="W15" s="79">
        <f t="shared" ref="W15:W39" si="4">(U15+U14)/2</f>
        <v>1.2180000000000002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28.857142857142858</v>
      </c>
      <c r="C16" s="60"/>
      <c r="M16" s="56">
        <v>40799</v>
      </c>
      <c r="N16" s="57">
        <v>26</v>
      </c>
      <c r="O16" s="58">
        <f t="shared" si="0"/>
        <v>3.2580965380214821</v>
      </c>
      <c r="T16" s="69">
        <v>2</v>
      </c>
      <c r="U16" s="77">
        <f t="shared" si="3"/>
        <v>4.8720000000000008</v>
      </c>
      <c r="V16" s="84">
        <f t="array" ref="V16:V40">FREQUENCY($N$3:$N$252,$U$15:$U$39)</f>
        <v>0</v>
      </c>
      <c r="W16" s="79">
        <f t="shared" si="4"/>
        <v>3.6540000000000008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8.8656735822624739</v>
      </c>
      <c r="C17" s="60"/>
      <c r="D17" s="4"/>
      <c r="M17" s="56">
        <v>40898</v>
      </c>
      <c r="N17" s="57">
        <v>23.8</v>
      </c>
      <c r="O17" s="58">
        <f t="shared" si="0"/>
        <v>3.1696855806774291</v>
      </c>
      <c r="T17" s="69">
        <v>3</v>
      </c>
      <c r="U17" s="77">
        <f t="shared" si="3"/>
        <v>7.3080000000000016</v>
      </c>
      <c r="V17" s="84">
        <v>0</v>
      </c>
      <c r="W17" s="79">
        <f t="shared" si="4"/>
        <v>6.0900000000000016</v>
      </c>
      <c r="X17" s="80">
        <f t="shared" si="2"/>
        <v>0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0.26682327618826485</v>
      </c>
      <c r="C18" s="114" t="s">
        <v>45</v>
      </c>
      <c r="D18" s="4"/>
      <c r="J18" s="6"/>
      <c r="M18" s="56">
        <v>40977</v>
      </c>
      <c r="N18" s="57">
        <v>18</v>
      </c>
      <c r="O18" s="58">
        <f t="shared" si="0"/>
        <v>2.8903717578961645</v>
      </c>
      <c r="T18" s="69">
        <v>4</v>
      </c>
      <c r="U18" s="77">
        <f t="shared" si="3"/>
        <v>9.7440000000000015</v>
      </c>
      <c r="V18" s="84">
        <v>0</v>
      </c>
      <c r="W18" s="79">
        <f t="shared" si="4"/>
        <v>8.5260000000000016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41086</v>
      </c>
      <c r="N19" s="57">
        <v>22.9</v>
      </c>
      <c r="O19" s="58">
        <f t="shared" si="0"/>
        <v>3.1311369105601941</v>
      </c>
      <c r="T19" s="69">
        <v>5</v>
      </c>
      <c r="U19" s="77">
        <f t="shared" si="3"/>
        <v>12.180000000000001</v>
      </c>
      <c r="V19" s="84">
        <v>0</v>
      </c>
      <c r="W19" s="79">
        <f t="shared" si="4"/>
        <v>10.962000000000002</v>
      </c>
      <c r="X19" s="80">
        <f t="shared" si="2"/>
        <v>0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41164</v>
      </c>
      <c r="N20" s="57">
        <v>31</v>
      </c>
      <c r="O20" s="58">
        <f t="shared" si="0"/>
        <v>3.4339872044851463</v>
      </c>
      <c r="T20" s="69">
        <v>6</v>
      </c>
      <c r="U20" s="77">
        <f t="shared" si="3"/>
        <v>14.616000000000003</v>
      </c>
      <c r="V20" s="84">
        <v>1</v>
      </c>
      <c r="W20" s="79">
        <f t="shared" si="4"/>
        <v>13.398000000000003</v>
      </c>
      <c r="X20" s="80">
        <f t="shared" si="2"/>
        <v>1.1728829462819609E-2</v>
      </c>
    </row>
    <row r="21" spans="1:24" ht="15" customHeight="1" x14ac:dyDescent="0.2">
      <c r="A21" s="103" t="s">
        <v>76</v>
      </c>
      <c r="B21" s="62">
        <f>NORMINV(0.975,$B$16,$B$17)</f>
        <v>46.233543777065506</v>
      </c>
      <c r="C21" s="62">
        <f>NORMINV(0.025,$B$16,$B$17)</f>
        <v>11.480741937220206</v>
      </c>
      <c r="D21" s="4"/>
      <c r="M21" s="56">
        <v>41248</v>
      </c>
      <c r="N21" s="57">
        <v>28.3</v>
      </c>
      <c r="O21" s="58">
        <f t="shared" si="0"/>
        <v>3.3428618046491918</v>
      </c>
      <c r="T21" s="69">
        <v>7</v>
      </c>
      <c r="U21" s="77">
        <f t="shared" si="3"/>
        <v>17.052000000000003</v>
      </c>
      <c r="V21" s="84">
        <v>0</v>
      </c>
      <c r="W21" s="79">
        <f t="shared" si="4"/>
        <v>15.834000000000003</v>
      </c>
      <c r="X21" s="80">
        <f t="shared" si="2"/>
        <v>0</v>
      </c>
    </row>
    <row r="22" spans="1:24" ht="15" customHeight="1" x14ac:dyDescent="0.2">
      <c r="A22" s="104" t="s">
        <v>77</v>
      </c>
      <c r="B22" s="62">
        <f>NORMINV(0.99,$B$16,$B$17)</f>
        <v>49.481783747179207</v>
      </c>
      <c r="C22" s="62">
        <f>NORMINV(0.01,B16,B17)</f>
        <v>8.2325019671065078</v>
      </c>
      <c r="M22" s="56">
        <v>41338</v>
      </c>
      <c r="N22" s="57">
        <v>18</v>
      </c>
      <c r="O22" s="58">
        <f t="shared" si="0"/>
        <v>2.8903717578961645</v>
      </c>
      <c r="T22" s="69">
        <v>8</v>
      </c>
      <c r="U22" s="77">
        <f t="shared" si="3"/>
        <v>19.488000000000003</v>
      </c>
      <c r="V22" s="84">
        <v>0</v>
      </c>
      <c r="W22" s="79">
        <f t="shared" si="4"/>
        <v>18.270000000000003</v>
      </c>
      <c r="X22" s="80">
        <f t="shared" si="2"/>
        <v>0</v>
      </c>
    </row>
    <row r="23" spans="1:24" ht="15" customHeight="1" x14ac:dyDescent="0.25">
      <c r="A23" s="112" t="s">
        <v>81</v>
      </c>
      <c r="B23" s="96">
        <f>MAX($B$22+0.5*$B$6,$B$6)</f>
        <v>55.481783747179207</v>
      </c>
      <c r="E23" s="144" t="s">
        <v>80</v>
      </c>
      <c r="F23" s="144"/>
      <c r="G23" s="144"/>
      <c r="M23" s="56">
        <v>41429</v>
      </c>
      <c r="N23" s="57">
        <v>19</v>
      </c>
      <c r="O23" s="58">
        <f t="shared" si="0"/>
        <v>2.9444389791664403</v>
      </c>
      <c r="T23" s="69">
        <v>9</v>
      </c>
      <c r="U23" s="77">
        <f t="shared" si="3"/>
        <v>21.924000000000003</v>
      </c>
      <c r="V23" s="84">
        <v>4</v>
      </c>
      <c r="W23" s="79">
        <f t="shared" si="4"/>
        <v>20.706000000000003</v>
      </c>
      <c r="X23" s="80">
        <f t="shared" si="2"/>
        <v>4.6915317851278435E-2</v>
      </c>
    </row>
    <row r="24" spans="1:24" ht="15" customHeight="1" x14ac:dyDescent="0.2">
      <c r="M24" s="56">
        <v>41516</v>
      </c>
      <c r="N24" s="57">
        <v>37</v>
      </c>
      <c r="O24" s="58">
        <f t="shared" si="0"/>
        <v>3.6109179126442243</v>
      </c>
      <c r="T24" s="69">
        <v>10</v>
      </c>
      <c r="U24" s="77">
        <f t="shared" si="3"/>
        <v>24.360000000000003</v>
      </c>
      <c r="V24" s="84">
        <v>0</v>
      </c>
      <c r="W24" s="79">
        <f t="shared" si="4"/>
        <v>23.142000000000003</v>
      </c>
      <c r="X24" s="80">
        <f t="shared" si="2"/>
        <v>0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41617</v>
      </c>
      <c r="N25" s="57">
        <v>35.299999999999997</v>
      </c>
      <c r="O25" s="58">
        <f t="shared" si="0"/>
        <v>3.5638829639392511</v>
      </c>
      <c r="Q25" s="75" t="s">
        <v>68</v>
      </c>
      <c r="R25" s="75">
        <f>MEDIAN($O$3:$O$252)</f>
        <v>3.2809112157876537</v>
      </c>
      <c r="T25" s="69">
        <v>11</v>
      </c>
      <c r="U25" s="77">
        <f t="shared" si="3"/>
        <v>26.796000000000003</v>
      </c>
      <c r="V25" s="84">
        <v>7</v>
      </c>
      <c r="W25" s="79">
        <f t="shared" si="4"/>
        <v>25.578000000000003</v>
      </c>
      <c r="X25" s="80">
        <f t="shared" si="2"/>
        <v>8.2101806239737257E-2</v>
      </c>
    </row>
    <row r="26" spans="1:24" ht="15" customHeight="1" x14ac:dyDescent="0.2">
      <c r="A26" s="86" t="s">
        <v>36</v>
      </c>
      <c r="B26" s="93">
        <v>0</v>
      </c>
      <c r="C26" s="62"/>
      <c r="E26" s="7" t="e">
        <f>AVERAGE(C50:C199)</f>
        <v>#DIV/0!</v>
      </c>
      <c r="M26" s="56">
        <v>41696</v>
      </c>
      <c r="N26" s="57">
        <v>22.4</v>
      </c>
      <c r="O26" s="58">
        <f t="shared" si="0"/>
        <v>3.1090609588609941</v>
      </c>
      <c r="Q26" s="75" t="s">
        <v>73</v>
      </c>
      <c r="R26" s="75">
        <f>AVERAGE($O$3:$O$252)</f>
        <v>3.3186134122833186</v>
      </c>
      <c r="T26" s="69">
        <v>12</v>
      </c>
      <c r="U26" s="77">
        <f t="shared" si="3"/>
        <v>29.232000000000006</v>
      </c>
      <c r="V26" s="84">
        <v>6</v>
      </c>
      <c r="W26" s="79">
        <f t="shared" si="4"/>
        <v>28.014000000000003</v>
      </c>
      <c r="X26" s="80">
        <f t="shared" si="2"/>
        <v>7.0372976776917659E-2</v>
      </c>
    </row>
    <row r="27" spans="1:24" ht="15" customHeight="1" x14ac:dyDescent="0.2">
      <c r="A27" s="65" t="s">
        <v>17</v>
      </c>
      <c r="B27" s="62">
        <f>EXP($R$26)</f>
        <v>27.622023634155173</v>
      </c>
      <c r="C27" s="62"/>
      <c r="E27" s="7" t="e">
        <f>STDEV(C50:C199)</f>
        <v>#DIV/0!</v>
      </c>
      <c r="F27" s="7" t="e">
        <f>NORMINV(0.025,$E26,$E27)</f>
        <v>#DIV/0!</v>
      </c>
      <c r="M27" s="56">
        <v>41813</v>
      </c>
      <c r="N27" s="57">
        <v>25.2</v>
      </c>
      <c r="O27" s="58">
        <f t="shared" si="0"/>
        <v>3.2268439945173775</v>
      </c>
      <c r="Q27" s="75" t="s">
        <v>104</v>
      </c>
      <c r="R27" s="75">
        <f>STDEV($O$3:$O$252)</f>
        <v>0.30141444430242481</v>
      </c>
      <c r="T27" s="69">
        <v>13</v>
      </c>
      <c r="U27" s="77">
        <f t="shared" si="3"/>
        <v>31.668000000000006</v>
      </c>
      <c r="V27" s="84">
        <v>1</v>
      </c>
      <c r="W27" s="79">
        <f t="shared" si="4"/>
        <v>30.450000000000006</v>
      </c>
      <c r="X27" s="80">
        <f t="shared" si="2"/>
        <v>1.1728829462819609E-2</v>
      </c>
    </row>
    <row r="28" spans="1:24" ht="15" customHeight="1" x14ac:dyDescent="0.2">
      <c r="A28" s="65" t="s">
        <v>92</v>
      </c>
      <c r="B28" s="62">
        <f>((NORMINV(0.83,$R$26,$R$27)-$R25)-($R$25-NORMINV(0.17,$R$26,$R$27)))/(NORMINV(0.83,$R$26,$R$27)-NORMINV(0.17,$R$26,$R$27))</f>
        <v>0.1310928468007522</v>
      </c>
      <c r="C28" s="115" t="s">
        <v>45</v>
      </c>
      <c r="F28" s="7" t="e">
        <f>NORMINV(0.01,$E$26,$E$27)</f>
        <v>#DIV/0!</v>
      </c>
      <c r="M28" s="56">
        <v>41886</v>
      </c>
      <c r="N28" s="57">
        <v>24.2</v>
      </c>
      <c r="O28" s="58">
        <f t="shared" si="0"/>
        <v>3.1863526331626408</v>
      </c>
      <c r="Q28" s="75" t="s">
        <v>108</v>
      </c>
      <c r="R28" s="75">
        <f>NORMINV(0.025,$R$26,$R$27)</f>
        <v>2.7278519570304121</v>
      </c>
      <c r="T28" s="69">
        <v>14</v>
      </c>
      <c r="U28" s="77">
        <f t="shared" si="3"/>
        <v>34.104000000000006</v>
      </c>
      <c r="V28" s="84">
        <v>3</v>
      </c>
      <c r="W28" s="79">
        <f t="shared" si="4"/>
        <v>32.88600000000001</v>
      </c>
      <c r="X28" s="80">
        <f t="shared" si="2"/>
        <v>3.5186488388458829E-2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41975</v>
      </c>
      <c r="N29" s="57">
        <v>26.1</v>
      </c>
      <c r="O29" s="58">
        <f t="shared" si="0"/>
        <v>3.2619353143286478</v>
      </c>
      <c r="Q29" s="75" t="s">
        <v>107</v>
      </c>
      <c r="R29" s="75">
        <f>NORMINV(0.01,$R$26,$R$27)</f>
        <v>2.6174185605751714</v>
      </c>
      <c r="T29" s="69">
        <v>15</v>
      </c>
      <c r="U29" s="77">
        <f t="shared" si="3"/>
        <v>36.540000000000006</v>
      </c>
      <c r="V29" s="84">
        <v>5</v>
      </c>
      <c r="W29" s="79">
        <f t="shared" si="4"/>
        <v>35.322000000000003</v>
      </c>
      <c r="X29" s="80">
        <f t="shared" si="2"/>
        <v>5.864414731409804E-2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42046</v>
      </c>
      <c r="N30" s="57">
        <v>23</v>
      </c>
      <c r="O30" s="58">
        <f t="shared" si="0"/>
        <v>3.1354942159291497</v>
      </c>
      <c r="Q30" s="75" t="s">
        <v>105</v>
      </c>
      <c r="R30" s="75">
        <f>NORMINV(0.95,$R$26,$R$27)</f>
        <v>3.8143960542097242</v>
      </c>
      <c r="T30" s="69">
        <v>16</v>
      </c>
      <c r="U30" s="77">
        <f t="shared" si="3"/>
        <v>38.976000000000006</v>
      </c>
      <c r="V30" s="84">
        <v>3</v>
      </c>
      <c r="W30" s="79">
        <f t="shared" si="4"/>
        <v>37.75800000000001</v>
      </c>
      <c r="X30" s="80">
        <f t="shared" si="2"/>
        <v>3.5186488388458829E-2</v>
      </c>
    </row>
    <row r="31" spans="1:24" ht="15" customHeight="1" x14ac:dyDescent="0.2">
      <c r="A31" s="65" t="s">
        <v>98</v>
      </c>
      <c r="B31" s="62">
        <f>EXP($R30)-$B$26</f>
        <v>45.349359555885336</v>
      </c>
      <c r="C31" s="62">
        <f>NORMINV(0.025,$R$26,$R$27)</f>
        <v>2.7278519570304121</v>
      </c>
      <c r="E31" s="7" t="e">
        <f>NORMINV(0.98,$E$26,$E$27)</f>
        <v>#DIV/0!</v>
      </c>
      <c r="M31" s="56">
        <v>42156</v>
      </c>
      <c r="N31" s="57">
        <v>25.8</v>
      </c>
      <c r="O31" s="58">
        <f t="shared" si="0"/>
        <v>3.2503744919275719</v>
      </c>
      <c r="Q31" s="75" t="s">
        <v>106</v>
      </c>
      <c r="R31" s="75">
        <f>NORMINV(0.98,$R$26,$R$27)</f>
        <v>3.9376429989181196</v>
      </c>
      <c r="T31" s="69">
        <v>17</v>
      </c>
      <c r="U31" s="77">
        <f t="shared" si="3"/>
        <v>41.412000000000006</v>
      </c>
      <c r="V31" s="84">
        <v>3</v>
      </c>
      <c r="W31" s="79">
        <f t="shared" si="4"/>
        <v>40.194000000000003</v>
      </c>
      <c r="X31" s="80">
        <f t="shared" si="2"/>
        <v>3.5186488388458829E-2</v>
      </c>
    </row>
    <row r="32" spans="1:24" ht="15" customHeight="1" x14ac:dyDescent="0.2">
      <c r="A32" s="65" t="s">
        <v>86</v>
      </c>
      <c r="B32" s="62">
        <f>EXP($R$31)-$B$26</f>
        <v>51.297550316324262</v>
      </c>
      <c r="C32" s="62">
        <f>NORMINV(0.01,$R$26,$R$27)</f>
        <v>2.6174185605751714</v>
      </c>
      <c r="M32" s="56">
        <v>42254</v>
      </c>
      <c r="N32" s="57">
        <v>33</v>
      </c>
      <c r="O32" s="58">
        <f t="shared" si="0"/>
        <v>3.4965075614664802</v>
      </c>
      <c r="T32" s="69">
        <v>18</v>
      </c>
      <c r="U32" s="77">
        <f t="shared" si="3"/>
        <v>43.848000000000006</v>
      </c>
      <c r="V32" s="84">
        <v>0</v>
      </c>
      <c r="W32" s="79">
        <f t="shared" si="4"/>
        <v>42.63000000000001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57.297550316324262</v>
      </c>
      <c r="M33" s="56">
        <v>42332</v>
      </c>
      <c r="N33" s="57">
        <v>31.7</v>
      </c>
      <c r="O33" s="58">
        <f t="shared" si="0"/>
        <v>3.4563166808832348</v>
      </c>
      <c r="T33" s="69">
        <v>19</v>
      </c>
      <c r="U33" s="77">
        <f t="shared" si="3"/>
        <v>46.284000000000006</v>
      </c>
      <c r="V33" s="84">
        <v>0</v>
      </c>
      <c r="W33" s="79">
        <f t="shared" si="4"/>
        <v>45.066000000000003</v>
      </c>
      <c r="X33" s="80">
        <f t="shared" si="2"/>
        <v>0</v>
      </c>
    </row>
    <row r="34" spans="1:24" ht="15" customHeight="1" x14ac:dyDescent="0.2">
      <c r="M34" s="56">
        <v>42403</v>
      </c>
      <c r="N34" s="57">
        <v>34</v>
      </c>
      <c r="O34" s="58">
        <f t="shared" si="0"/>
        <v>3.5263605246161616</v>
      </c>
      <c r="T34" s="69">
        <v>20</v>
      </c>
      <c r="U34" s="77">
        <f t="shared" si="3"/>
        <v>48.720000000000006</v>
      </c>
      <c r="V34" s="84">
        <v>0</v>
      </c>
      <c r="W34" s="79">
        <f t="shared" si="4"/>
        <v>47.50200000000001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42508</v>
      </c>
      <c r="N35" s="57">
        <v>33.5</v>
      </c>
      <c r="O35" s="58">
        <f t="shared" si="0"/>
        <v>3.5115454388310208</v>
      </c>
      <c r="T35" s="69">
        <v>21</v>
      </c>
      <c r="U35" s="77">
        <f t="shared" si="3"/>
        <v>51.156000000000006</v>
      </c>
      <c r="V35" s="84">
        <v>0</v>
      </c>
      <c r="W35" s="79">
        <f t="shared" si="4"/>
        <v>49.938000000000002</v>
      </c>
      <c r="X35" s="80">
        <f t="shared" si="2"/>
        <v>0</v>
      </c>
    </row>
    <row r="36" spans="1:24" ht="15" x14ac:dyDescent="0.2">
      <c r="A36" s="101" t="s">
        <v>7</v>
      </c>
      <c r="B36" s="52">
        <f>IF($B$10&lt;($B$11-$B$10)/2,0,0.95*$B$10)</f>
        <v>0</v>
      </c>
      <c r="M36" s="56">
        <v>42579</v>
      </c>
      <c r="N36" s="57">
        <v>30</v>
      </c>
      <c r="O36" s="58">
        <f t="shared" si="0"/>
        <v>3.4011973816621555</v>
      </c>
      <c r="T36" s="69">
        <v>22</v>
      </c>
      <c r="U36" s="77">
        <f t="shared" si="3"/>
        <v>53.592000000000006</v>
      </c>
      <c r="V36" s="84">
        <v>1</v>
      </c>
      <c r="W36" s="79">
        <f t="shared" si="4"/>
        <v>52.374000000000009</v>
      </c>
      <c r="X36" s="80">
        <f t="shared" si="2"/>
        <v>1.1728829462819609E-2</v>
      </c>
    </row>
    <row r="37" spans="1:24" ht="15.75" x14ac:dyDescent="0.25">
      <c r="A37" s="103" t="s">
        <v>8</v>
      </c>
      <c r="B37" s="52">
        <f>1.05*B11</f>
        <v>60.900000000000006</v>
      </c>
      <c r="D37" s="8"/>
      <c r="E37" s="8"/>
      <c r="M37" s="56">
        <v>42696</v>
      </c>
      <c r="N37" s="57">
        <v>37.5</v>
      </c>
      <c r="O37" s="58">
        <f t="shared" si="0"/>
        <v>3.6243409329763652</v>
      </c>
      <c r="T37" s="69">
        <v>23</v>
      </c>
      <c r="U37" s="77">
        <f t="shared" si="3"/>
        <v>56.028000000000006</v>
      </c>
      <c r="V37" s="84">
        <v>0</v>
      </c>
      <c r="W37" s="79">
        <f t="shared" si="4"/>
        <v>54.81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2.4360000000000004</v>
      </c>
      <c r="M38" s="56"/>
      <c r="N38" s="57"/>
      <c r="O38" s="58" t="b">
        <f t="shared" si="0"/>
        <v>0</v>
      </c>
      <c r="T38" s="69">
        <v>24</v>
      </c>
      <c r="U38" s="77">
        <f t="shared" si="3"/>
        <v>58.464000000000013</v>
      </c>
      <c r="V38" s="84">
        <v>0</v>
      </c>
      <c r="W38" s="79">
        <f t="shared" si="4"/>
        <v>57.246000000000009</v>
      </c>
      <c r="X38" s="80">
        <f t="shared" si="2"/>
        <v>0</v>
      </c>
    </row>
    <row r="39" spans="1:24" ht="15" x14ac:dyDescent="0.2">
      <c r="M39" s="56"/>
      <c r="N39" s="57"/>
      <c r="O39" s="58" t="b">
        <f t="shared" si="0"/>
        <v>0</v>
      </c>
      <c r="T39" s="69">
        <v>25</v>
      </c>
      <c r="U39" s="77">
        <f t="shared" si="3"/>
        <v>60.900000000000013</v>
      </c>
      <c r="V39" s="84">
        <v>1</v>
      </c>
      <c r="W39" s="79">
        <f t="shared" si="4"/>
        <v>59.682000000000016</v>
      </c>
      <c r="X39" s="80">
        <f t="shared" si="2"/>
        <v>1.1728829462819609E-2</v>
      </c>
    </row>
    <row r="40" spans="1:24" ht="15" x14ac:dyDescent="0.2">
      <c r="M40" s="56"/>
      <c r="N40" s="57"/>
      <c r="O40" s="58" t="b">
        <f t="shared" si="0"/>
        <v>0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/>
      <c r="N41" s="57"/>
      <c r="O41" s="58" t="b">
        <f t="shared" si="0"/>
        <v>0</v>
      </c>
    </row>
    <row r="42" spans="1:24" ht="15" x14ac:dyDescent="0.2">
      <c r="M42" s="56"/>
      <c r="N42" s="57"/>
      <c r="O42" s="58" t="b">
        <f t="shared" si="0"/>
        <v>0</v>
      </c>
    </row>
    <row r="43" spans="1:24" ht="15" x14ac:dyDescent="0.2">
      <c r="M43" s="56"/>
      <c r="N43" s="57"/>
      <c r="O43" s="58" t="b">
        <f t="shared" si="0"/>
        <v>0</v>
      </c>
    </row>
    <row r="44" spans="1:24" ht="15" x14ac:dyDescent="0.2">
      <c r="M44" s="56"/>
      <c r="N44" s="57"/>
      <c r="O44" s="58" t="b">
        <f t="shared" si="0"/>
        <v>0</v>
      </c>
      <c r="T44" s="83" t="s">
        <v>13</v>
      </c>
    </row>
    <row r="45" spans="1:24" ht="15" x14ac:dyDescent="0.2">
      <c r="M45" s="56"/>
      <c r="N45" s="57"/>
      <c r="O45" s="58" t="b">
        <f t="shared" si="0"/>
        <v>0</v>
      </c>
      <c r="T45" s="69" t="s">
        <v>26</v>
      </c>
      <c r="U45" s="69" t="s">
        <v>27</v>
      </c>
    </row>
    <row r="46" spans="1:24" ht="15" x14ac:dyDescent="0.2">
      <c r="B46" s="6"/>
      <c r="M46" s="56"/>
      <c r="N46" s="57"/>
      <c r="O46" s="58" t="b">
        <f t="shared" si="0"/>
        <v>0</v>
      </c>
      <c r="T46" s="85">
        <f>$U$14-$B$38/100</f>
        <v>-2.4360000000000003E-2</v>
      </c>
      <c r="U46" s="28">
        <v>0</v>
      </c>
    </row>
    <row r="47" spans="1:24" ht="15" x14ac:dyDescent="0.2">
      <c r="B47" s="9"/>
      <c r="C47" s="9"/>
      <c r="D47" s="9"/>
      <c r="E47" s="9"/>
      <c r="M47" s="56"/>
      <c r="N47" s="57"/>
      <c r="O47" s="58" t="b">
        <f t="shared" si="0"/>
        <v>0</v>
      </c>
      <c r="T47" s="85">
        <f>$U$14+$B$38/100</f>
        <v>2.4360000000000003E-2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/>
      <c r="N48" s="57"/>
      <c r="O48" s="58" t="b">
        <f t="shared" si="0"/>
        <v>0</v>
      </c>
      <c r="T48" s="85">
        <f>$U$15-$B$38/100</f>
        <v>2.4116400000000002</v>
      </c>
      <c r="U48" s="28">
        <f>$X$15</f>
        <v>0</v>
      </c>
    </row>
    <row r="49" spans="5:21" ht="15" x14ac:dyDescent="0.2">
      <c r="E49" s="13"/>
      <c r="M49" s="56"/>
      <c r="N49" s="57"/>
      <c r="O49" s="58" t="b">
        <f t="shared" si="0"/>
        <v>0</v>
      </c>
      <c r="T49" s="85">
        <f>$U$15+$B$38/100</f>
        <v>2.4603600000000005</v>
      </c>
      <c r="U49" s="28">
        <f>$X$16</f>
        <v>0</v>
      </c>
    </row>
    <row r="50" spans="5:21" ht="15" x14ac:dyDescent="0.2">
      <c r="E50" s="15"/>
      <c r="M50" s="56"/>
      <c r="N50" s="57"/>
      <c r="O50" s="58" t="b">
        <f t="shared" si="0"/>
        <v>0</v>
      </c>
      <c r="T50" s="85">
        <f>$U$16-$B$38/100</f>
        <v>4.8476400000000011</v>
      </c>
      <c r="U50" s="28">
        <f>$X$16</f>
        <v>0</v>
      </c>
    </row>
    <row r="51" spans="5:21" ht="15" x14ac:dyDescent="0.2">
      <c r="E51" s="15"/>
      <c r="M51" s="56"/>
      <c r="N51" s="57"/>
      <c r="O51" s="58" t="b">
        <f t="shared" si="0"/>
        <v>0</v>
      </c>
      <c r="T51" s="85">
        <f>$U$16+$B$38/100</f>
        <v>4.8963600000000005</v>
      </c>
      <c r="U51" s="28">
        <f>$X$17</f>
        <v>0</v>
      </c>
    </row>
    <row r="52" spans="5:21" ht="15" x14ac:dyDescent="0.2">
      <c r="E52" s="15"/>
      <c r="M52" s="56"/>
      <c r="N52" s="57"/>
      <c r="O52" s="58" t="b">
        <f t="shared" si="0"/>
        <v>0</v>
      </c>
      <c r="T52" s="85">
        <f>$U$17-$B$38/100</f>
        <v>7.2836400000000019</v>
      </c>
      <c r="U52" s="28">
        <f>$X$17</f>
        <v>0</v>
      </c>
    </row>
    <row r="53" spans="5:21" ht="15" x14ac:dyDescent="0.2">
      <c r="E53" s="15"/>
      <c r="F53" s="15"/>
      <c r="G53" s="15"/>
      <c r="M53" s="56"/>
      <c r="N53" s="57"/>
      <c r="O53" s="58" t="b">
        <f t="shared" si="0"/>
        <v>0</v>
      </c>
      <c r="T53" s="85">
        <f>$U$17+$B$38/100</f>
        <v>7.3323600000000013</v>
      </c>
      <c r="U53" s="28">
        <f>$X$18</f>
        <v>0</v>
      </c>
    </row>
    <row r="54" spans="5:21" ht="15" x14ac:dyDescent="0.2">
      <c r="E54" s="15"/>
      <c r="F54" s="15"/>
      <c r="G54" s="15"/>
      <c r="M54" s="56"/>
      <c r="N54" s="57"/>
      <c r="O54" s="58" t="b">
        <f t="shared" si="0"/>
        <v>0</v>
      </c>
      <c r="T54" s="85">
        <f>$U$18-$B$38/100</f>
        <v>9.7196400000000018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/>
      <c r="N55" s="57"/>
      <c r="O55" s="58" t="b">
        <f t="shared" si="0"/>
        <v>0</v>
      </c>
      <c r="T55" s="85">
        <f>$U$18+$B$38/100</f>
        <v>9.7683600000000013</v>
      </c>
      <c r="U55" s="28">
        <f>$X$19</f>
        <v>0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/>
      <c r="N56" s="57"/>
      <c r="O56" s="58" t="b">
        <f t="shared" si="0"/>
        <v>0</v>
      </c>
      <c r="T56" s="85">
        <f>$U$19-$B$38/100</f>
        <v>12.155640000000002</v>
      </c>
      <c r="U56" s="28">
        <f>$X$19</f>
        <v>0</v>
      </c>
    </row>
    <row r="57" spans="5:21" ht="15" x14ac:dyDescent="0.2">
      <c r="E57" s="70">
        <v>1</v>
      </c>
      <c r="F57" s="74">
        <f>$B$21</f>
        <v>46.233543777065506</v>
      </c>
      <c r="G57" s="74">
        <f>$C$21</f>
        <v>11.480741937220206</v>
      </c>
      <c r="H57" s="74">
        <f>$B$22</f>
        <v>49.481783747179207</v>
      </c>
      <c r="I57" s="74">
        <f>$C$22</f>
        <v>8.2325019671065078</v>
      </c>
      <c r="J57" s="74">
        <f>$B$31</f>
        <v>45.349359555885336</v>
      </c>
      <c r="K57" s="74">
        <f>$B$32</f>
        <v>51.297550316324262</v>
      </c>
      <c r="M57" s="56"/>
      <c r="N57" s="57"/>
      <c r="O57" s="58" t="b">
        <f t="shared" si="0"/>
        <v>0</v>
      </c>
      <c r="T57" s="85">
        <f>$U$19+$B$38/100</f>
        <v>12.204360000000001</v>
      </c>
      <c r="U57" s="28">
        <f>$X$20</f>
        <v>1.1728829462819609E-2</v>
      </c>
    </row>
    <row r="58" spans="5:21" ht="15" x14ac:dyDescent="0.2">
      <c r="E58" s="70">
        <v>51501</v>
      </c>
      <c r="F58" s="74">
        <f>$B$21</f>
        <v>46.233543777065506</v>
      </c>
      <c r="G58" s="74">
        <f>$C$21</f>
        <v>11.480741937220206</v>
      </c>
      <c r="H58" s="74">
        <f>$B$22</f>
        <v>49.481783747179207</v>
      </c>
      <c r="I58" s="74">
        <f>$C$22</f>
        <v>8.2325019671065078</v>
      </c>
      <c r="J58" s="74">
        <f>$B$31</f>
        <v>45.349359555885336</v>
      </c>
      <c r="K58" s="74">
        <f>$B$32</f>
        <v>51.297550316324262</v>
      </c>
      <c r="M58" s="56"/>
      <c r="N58" s="57"/>
      <c r="O58" s="58" t="b">
        <f t="shared" si="0"/>
        <v>0</v>
      </c>
      <c r="T58" s="85">
        <f>$U$20-$B$38/100</f>
        <v>14.591640000000003</v>
      </c>
      <c r="U58" s="28">
        <f>$X$20</f>
        <v>1.1728829462819609E-2</v>
      </c>
    </row>
    <row r="59" spans="5:21" ht="15" x14ac:dyDescent="0.2">
      <c r="M59" s="56"/>
      <c r="N59" s="57"/>
      <c r="O59" s="58" t="b">
        <f t="shared" si="0"/>
        <v>0</v>
      </c>
      <c r="T59" s="85">
        <f>$U$20+$B$38/100</f>
        <v>14.640360000000003</v>
      </c>
      <c r="U59" s="28">
        <f>$X$21</f>
        <v>0</v>
      </c>
    </row>
    <row r="60" spans="5:21" ht="15" x14ac:dyDescent="0.2">
      <c r="M60" s="56"/>
      <c r="N60" s="57"/>
      <c r="O60" s="58" t="b">
        <f t="shared" si="0"/>
        <v>0</v>
      </c>
      <c r="T60" s="85">
        <f>$U$21-$B$38/100</f>
        <v>17.027640000000002</v>
      </c>
      <c r="U60" s="28">
        <f>$X$21</f>
        <v>0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/>
      <c r="N61" s="57"/>
      <c r="O61" s="58" t="b">
        <f t="shared" si="0"/>
        <v>0</v>
      </c>
      <c r="T61" s="85">
        <f>$U$21+$B$38/100</f>
        <v>17.076360000000005</v>
      </c>
      <c r="U61" s="28">
        <f>$X$22</f>
        <v>0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/>
      <c r="N62" s="57"/>
      <c r="O62" s="58" t="b">
        <f t="shared" si="0"/>
        <v>0</v>
      </c>
      <c r="T62" s="85">
        <f>$U$22-$B$38/100</f>
        <v>19.463640000000002</v>
      </c>
      <c r="U62" s="28">
        <f>$X$22</f>
        <v>0</v>
      </c>
    </row>
    <row r="63" spans="5:21" ht="15" x14ac:dyDescent="0.2">
      <c r="E63" s="72">
        <v>-5</v>
      </c>
      <c r="F63" s="73">
        <f>$B$16+$E63*$B$17</f>
        <v>-15.471225054169512</v>
      </c>
      <c r="G63" s="73">
        <f>NORMDIST($F63,$B$16,$B$17,FALSE)</f>
        <v>1.6769391529469041E-7</v>
      </c>
      <c r="H63" s="73">
        <f>EXP($R$26+$E63*$R$27)</f>
        <v>6.1198720581287587</v>
      </c>
      <c r="I63" s="73">
        <f t="shared" ref="I63:I113" si="5">H63-$B$26</f>
        <v>6.1198720581287587</v>
      </c>
      <c r="J63" s="73">
        <f>1/$H63/SQRT(2*PI())/$R$27*EXP(-POWER(LN($H63)-$R$26,2)/2/POWER($R$27,2))</f>
        <v>8.0597698126909933E-7</v>
      </c>
      <c r="K63" s="73">
        <f>LOGNORMDIST($H63,$R$26,$R$27)</f>
        <v>2.8665157187919333E-7</v>
      </c>
      <c r="M63" s="56"/>
      <c r="N63" s="57"/>
      <c r="O63" s="58" t="b">
        <f t="shared" si="0"/>
        <v>0</v>
      </c>
      <c r="T63" s="85">
        <f>$U$22+$B$38/100</f>
        <v>19.512360000000005</v>
      </c>
      <c r="U63" s="28">
        <f>$X$23</f>
        <v>4.6915317851278435E-2</v>
      </c>
    </row>
    <row r="64" spans="5:21" ht="15" x14ac:dyDescent="0.2">
      <c r="E64" s="72">
        <v>-4.8</v>
      </c>
      <c r="F64" s="73">
        <f t="shared" ref="F64:F113" si="6">$B$16+$E64*$B$17</f>
        <v>-13.698090337717016</v>
      </c>
      <c r="G64" s="73">
        <f t="shared" ref="G64:G113" si="7">NORMDIST($F64,$B$16,$B$17,FALSE)</f>
        <v>4.4681309934052104E-7</v>
      </c>
      <c r="H64" s="73">
        <f t="shared" ref="H64:H113" si="8">EXP($R$26+$E64*$R$27)</f>
        <v>6.5001423693047062</v>
      </c>
      <c r="I64" s="73">
        <f t="shared" si="5"/>
        <v>6.5001423693047062</v>
      </c>
      <c r="J64" s="73">
        <f t="shared" ref="J64:J113" si="9">1/$H64/SQRT(2*PI())/$R$27*EXP(-POWER(LN($H64)-$R$26,2)/2/POWER($R$27,2))</f>
        <v>2.0218582515232312E-6</v>
      </c>
      <c r="K64" s="73">
        <f t="shared" ref="K64:K113" si="10">LOGNORMDIST($H64,$R$26,$R$27)</f>
        <v>7.933281519755948E-7</v>
      </c>
      <c r="M64" s="56"/>
      <c r="N64" s="57"/>
      <c r="O64" s="58" t="b">
        <f t="shared" si="0"/>
        <v>0</v>
      </c>
      <c r="T64" s="85">
        <f>$U$23-$B$38/100</f>
        <v>21.899640000000002</v>
      </c>
      <c r="U64" s="28">
        <f>$X$23</f>
        <v>4.6915317851278435E-2</v>
      </c>
    </row>
    <row r="65" spans="5:21" ht="15" x14ac:dyDescent="0.2">
      <c r="E65" s="72">
        <v>-4.5999999999999996</v>
      </c>
      <c r="F65" s="73">
        <f t="shared" si="6"/>
        <v>-11.92495562126452</v>
      </c>
      <c r="G65" s="73">
        <f t="shared" si="7"/>
        <v>1.1438332317778461E-6</v>
      </c>
      <c r="H65" s="73">
        <f t="shared" si="8"/>
        <v>6.9040415256898866</v>
      </c>
      <c r="I65" s="73">
        <f t="shared" si="5"/>
        <v>6.9040415256898866</v>
      </c>
      <c r="J65" s="73">
        <f t="shared" si="9"/>
        <v>4.8731187190064008E-6</v>
      </c>
      <c r="K65" s="73">
        <f t="shared" si="10"/>
        <v>2.1124547025028533E-6</v>
      </c>
      <c r="M65" s="56"/>
      <c r="N65" s="57"/>
      <c r="O65" s="58" t="b">
        <f t="shared" si="0"/>
        <v>0</v>
      </c>
      <c r="T65" s="85">
        <f>$U$23+$B$38/100</f>
        <v>21.948360000000005</v>
      </c>
      <c r="U65" s="28">
        <f>$X$24</f>
        <v>0</v>
      </c>
    </row>
    <row r="66" spans="5:21" ht="15" x14ac:dyDescent="0.2">
      <c r="E66" s="72">
        <v>-4.4000000000000004</v>
      </c>
      <c r="F66" s="73">
        <f t="shared" si="6"/>
        <v>-10.15182090481203</v>
      </c>
      <c r="G66" s="73">
        <f t="shared" si="7"/>
        <v>2.8133757755254899E-6</v>
      </c>
      <c r="H66" s="73">
        <f t="shared" si="8"/>
        <v>7.3330377521483348</v>
      </c>
      <c r="I66" s="73">
        <f t="shared" si="5"/>
        <v>7.3330377521483348</v>
      </c>
      <c r="J66" s="73">
        <f t="shared" si="9"/>
        <v>1.1284738496246649E-5</v>
      </c>
      <c r="K66" s="73">
        <f t="shared" si="10"/>
        <v>5.4125439077038416E-6</v>
      </c>
      <c r="M66" s="56"/>
      <c r="N66" s="57"/>
      <c r="O66" s="58" t="b">
        <f t="shared" si="0"/>
        <v>0</v>
      </c>
      <c r="T66" s="85">
        <f>$U$24-$B$38/100</f>
        <v>24.335640000000001</v>
      </c>
      <c r="U66" s="28">
        <f>$X$24</f>
        <v>0</v>
      </c>
    </row>
    <row r="67" spans="5:21" ht="15" x14ac:dyDescent="0.2">
      <c r="E67" s="72">
        <v>-4.2</v>
      </c>
      <c r="F67" s="73">
        <f t="shared" si="6"/>
        <v>-8.3786861883595343</v>
      </c>
      <c r="G67" s="73">
        <f t="shared" si="7"/>
        <v>6.648459049345902E-6</v>
      </c>
      <c r="H67" s="73">
        <f t="shared" si="8"/>
        <v>7.7886905045895416</v>
      </c>
      <c r="I67" s="73">
        <f t="shared" si="5"/>
        <v>7.7886905045895416</v>
      </c>
      <c r="J67" s="73">
        <f t="shared" si="9"/>
        <v>2.5107543741568622E-5</v>
      </c>
      <c r="K67" s="73">
        <f t="shared" si="10"/>
        <v>1.3345749015906261E-5</v>
      </c>
      <c r="M67" s="56"/>
      <c r="N67" s="57"/>
      <c r="O67" s="58" t="b">
        <f t="shared" ref="O67:O130" si="11">IF($N67&gt;0,LN($N67+$B$26))</f>
        <v>0</v>
      </c>
      <c r="T67" s="85">
        <f>$U$24+$B$38/100</f>
        <v>24.384360000000004</v>
      </c>
      <c r="U67" s="28">
        <f>$X$25</f>
        <v>8.2101806239737257E-2</v>
      </c>
    </row>
    <row r="68" spans="5:21" ht="15" x14ac:dyDescent="0.2">
      <c r="E68" s="72">
        <v>-4</v>
      </c>
      <c r="F68" s="73">
        <f t="shared" si="6"/>
        <v>-6.6055514719070381</v>
      </c>
      <c r="G68" s="73">
        <f t="shared" si="7"/>
        <v>1.5095325191380731E-5</v>
      </c>
      <c r="H68" s="73">
        <f t="shared" si="8"/>
        <v>8.2726561387892588</v>
      </c>
      <c r="I68" s="73">
        <f t="shared" si="5"/>
        <v>8.2726561387892588</v>
      </c>
      <c r="J68" s="73">
        <f t="shared" si="9"/>
        <v>5.3671678469947055E-5</v>
      </c>
      <c r="K68" s="73">
        <f t="shared" si="10"/>
        <v>3.1671241833119857E-5</v>
      </c>
      <c r="M68" s="56"/>
      <c r="N68" s="57"/>
      <c r="O68" s="58" t="b">
        <f t="shared" si="11"/>
        <v>0</v>
      </c>
      <c r="T68" s="85">
        <f>$U$25-$B$38/100</f>
        <v>26.771640000000001</v>
      </c>
      <c r="U68" s="28">
        <f>$X$25</f>
        <v>8.2101806239737257E-2</v>
      </c>
    </row>
    <row r="69" spans="5:21" ht="15" x14ac:dyDescent="0.2">
      <c r="E69" s="72">
        <v>-3.8</v>
      </c>
      <c r="F69" s="73">
        <f t="shared" si="6"/>
        <v>-4.8324167554545419</v>
      </c>
      <c r="G69" s="73">
        <f t="shared" si="7"/>
        <v>3.2930033243673397E-5</v>
      </c>
      <c r="H69" s="73">
        <f t="shared" si="8"/>
        <v>8.7866939314536499</v>
      </c>
      <c r="I69" s="73">
        <f t="shared" si="5"/>
        <v>8.7866939314536499</v>
      </c>
      <c r="J69" s="73">
        <f t="shared" si="9"/>
        <v>1.1023369042538604E-4</v>
      </c>
      <c r="K69" s="73">
        <f t="shared" si="10"/>
        <v>7.2348043925120125E-5</v>
      </c>
      <c r="M69" s="56"/>
      <c r="N69" s="57"/>
      <c r="O69" s="58" t="b">
        <f t="shared" si="11"/>
        <v>0</v>
      </c>
      <c r="T69" s="85">
        <f>$U$25+$B$38/100</f>
        <v>26.820360000000004</v>
      </c>
      <c r="U69" s="28">
        <f>$X$26</f>
        <v>7.0372976776917659E-2</v>
      </c>
    </row>
    <row r="70" spans="5:21" ht="15" x14ac:dyDescent="0.2">
      <c r="E70" s="72">
        <v>-3.6</v>
      </c>
      <c r="F70" s="73">
        <f t="shared" si="6"/>
        <v>-3.0592820390020492</v>
      </c>
      <c r="G70" s="73">
        <f t="shared" si="7"/>
        <v>6.9019226168895079E-5</v>
      </c>
      <c r="H70" s="73">
        <f t="shared" si="8"/>
        <v>9.3326724754141459</v>
      </c>
      <c r="I70" s="73">
        <f t="shared" si="5"/>
        <v>9.3326724754141459</v>
      </c>
      <c r="J70" s="73">
        <f t="shared" si="9"/>
        <v>2.1752628240538673E-4</v>
      </c>
      <c r="K70" s="73">
        <f t="shared" si="10"/>
        <v>1.5910859015753364E-4</v>
      </c>
      <c r="M70" s="56"/>
      <c r="N70" s="57"/>
      <c r="O70" s="58" t="b">
        <f t="shared" si="11"/>
        <v>0</v>
      </c>
      <c r="T70" s="85">
        <f>$U$26-$B$38/100</f>
        <v>29.207640000000005</v>
      </c>
      <c r="U70" s="28">
        <f>$X$26</f>
        <v>7.0372976776917659E-2</v>
      </c>
    </row>
    <row r="71" spans="5:21" ht="15" x14ac:dyDescent="0.2">
      <c r="E71" s="72">
        <v>-3.4</v>
      </c>
      <c r="F71" s="73">
        <f t="shared" si="6"/>
        <v>-1.286147322549553</v>
      </c>
      <c r="G71" s="73">
        <f t="shared" si="7"/>
        <v>1.3898765356512978E-4</v>
      </c>
      <c r="H71" s="73">
        <f t="shared" si="8"/>
        <v>9.9125764722003211</v>
      </c>
      <c r="I71" s="73">
        <f t="shared" si="5"/>
        <v>9.9125764722003211</v>
      </c>
      <c r="J71" s="73">
        <f t="shared" si="9"/>
        <v>4.1241775043698934E-4</v>
      </c>
      <c r="K71" s="73">
        <f t="shared" si="10"/>
        <v>3.3692926567687983E-4</v>
      </c>
      <c r="M71" s="56"/>
      <c r="N71" s="57"/>
      <c r="O71" s="58" t="b">
        <f t="shared" si="11"/>
        <v>0</v>
      </c>
      <c r="T71" s="85">
        <f>$U$26+$B$38/100</f>
        <v>29.256360000000008</v>
      </c>
      <c r="U71" s="28">
        <f>$X$27</f>
        <v>1.1728829462819609E-2</v>
      </c>
    </row>
    <row r="72" spans="5:21" ht="15" x14ac:dyDescent="0.2">
      <c r="E72" s="72">
        <v>-3.2</v>
      </c>
      <c r="F72" s="73">
        <f t="shared" si="6"/>
        <v>0.48698739390293966</v>
      </c>
      <c r="G72" s="73">
        <f t="shared" si="7"/>
        <v>2.6891224669433787E-4</v>
      </c>
      <c r="H72" s="73">
        <f t="shared" si="8"/>
        <v>10.528513946682681</v>
      </c>
      <c r="I72" s="73">
        <f t="shared" si="5"/>
        <v>10.528513946682681</v>
      </c>
      <c r="J72" s="73">
        <f t="shared" si="9"/>
        <v>7.5126158308972942E-4</v>
      </c>
      <c r="K72" s="73">
        <f t="shared" si="10"/>
        <v>6.8713793791584719E-4</v>
      </c>
      <c r="M72" s="56"/>
      <c r="N72" s="57"/>
      <c r="O72" s="58" t="b">
        <f t="shared" si="11"/>
        <v>0</v>
      </c>
      <c r="T72" s="85">
        <f>$U$27-$B$38/100</f>
        <v>31.643640000000005</v>
      </c>
      <c r="U72" s="28">
        <f>$X$27</f>
        <v>1.1728829462819609E-2</v>
      </c>
    </row>
    <row r="73" spans="5:21" ht="15" x14ac:dyDescent="0.2">
      <c r="E73" s="72">
        <v>-3</v>
      </c>
      <c r="F73" s="73">
        <f t="shared" si="6"/>
        <v>2.2601221103554359</v>
      </c>
      <c r="G73" s="73">
        <f t="shared" si="7"/>
        <v>4.9988851617600643E-4</v>
      </c>
      <c r="H73" s="73">
        <f t="shared" si="8"/>
        <v>11.182723910011473</v>
      </c>
      <c r="I73" s="73">
        <f t="shared" si="5"/>
        <v>11.182723910011473</v>
      </c>
      <c r="J73" s="73">
        <f t="shared" si="9"/>
        <v>1.314840987559652E-3</v>
      </c>
      <c r="K73" s="73">
        <f t="shared" si="10"/>
        <v>1.3498980316300954E-3</v>
      </c>
      <c r="M73" s="56"/>
      <c r="N73" s="57"/>
      <c r="O73" s="58" t="b">
        <f t="shared" si="11"/>
        <v>0</v>
      </c>
      <c r="T73" s="85">
        <f>$U$27+$B$38/100</f>
        <v>31.692360000000008</v>
      </c>
      <c r="U73" s="28">
        <f>$X$28</f>
        <v>3.5186488388458829E-2</v>
      </c>
    </row>
    <row r="74" spans="5:21" ht="15" x14ac:dyDescent="0.2">
      <c r="E74" s="72">
        <v>-2.8</v>
      </c>
      <c r="F74" s="73">
        <f t="shared" si="6"/>
        <v>4.0332568268079321</v>
      </c>
      <c r="G74" s="73">
        <f t="shared" si="7"/>
        <v>8.9282010098097771E-4</v>
      </c>
      <c r="H74" s="73">
        <f t="shared" si="8"/>
        <v>11.877584498707339</v>
      </c>
      <c r="I74" s="73">
        <f t="shared" si="5"/>
        <v>11.877584498707339</v>
      </c>
      <c r="J74" s="73">
        <f t="shared" si="9"/>
        <v>2.2109733478256522E-3</v>
      </c>
      <c r="K74" s="73">
        <f t="shared" si="10"/>
        <v>2.5551303304279286E-3</v>
      </c>
      <c r="M74" s="56"/>
      <c r="N74" s="57"/>
      <c r="O74" s="58" t="b">
        <f t="shared" si="11"/>
        <v>0</v>
      </c>
      <c r="T74" s="85">
        <f>$U$28-$B$38/100</f>
        <v>34.079640000000005</v>
      </c>
      <c r="U74" s="28">
        <f>$X$28</f>
        <v>3.5186488388458829E-2</v>
      </c>
    </row>
    <row r="75" spans="5:21" ht="15" x14ac:dyDescent="0.2">
      <c r="E75" s="72">
        <v>-2.6</v>
      </c>
      <c r="F75" s="73">
        <f t="shared" si="6"/>
        <v>5.8063915432604247</v>
      </c>
      <c r="G75" s="73">
        <f t="shared" si="7"/>
        <v>1.5320854199799346E-3</v>
      </c>
      <c r="H75" s="73">
        <f t="shared" si="8"/>
        <v>12.615621619490399</v>
      </c>
      <c r="I75" s="73">
        <f t="shared" si="5"/>
        <v>12.615621619490399</v>
      </c>
      <c r="J75" s="73">
        <f t="shared" si="9"/>
        <v>3.5720867848480688E-3</v>
      </c>
      <c r="K75" s="73">
        <f t="shared" si="10"/>
        <v>4.6611880237187493E-3</v>
      </c>
      <c r="M75" s="56"/>
      <c r="N75" s="57"/>
      <c r="O75" s="58" t="b">
        <f t="shared" si="11"/>
        <v>0</v>
      </c>
      <c r="T75" s="85">
        <f>$U$28+$B$38/100</f>
        <v>34.128360000000008</v>
      </c>
      <c r="U75" s="28">
        <f>$X$29</f>
        <v>5.864414731409804E-2</v>
      </c>
    </row>
    <row r="76" spans="5:21" ht="15" x14ac:dyDescent="0.2">
      <c r="E76" s="72">
        <v>-2.4</v>
      </c>
      <c r="F76" s="73">
        <f t="shared" si="6"/>
        <v>7.5795262597129209</v>
      </c>
      <c r="G76" s="73">
        <f t="shared" si="7"/>
        <v>2.5259818204504585E-3</v>
      </c>
      <c r="H76" s="73">
        <f t="shared" si="8"/>
        <v>13.399518131272783</v>
      </c>
      <c r="I76" s="73">
        <f t="shared" si="5"/>
        <v>13.399518131272783</v>
      </c>
      <c r="J76" s="73">
        <f t="shared" si="9"/>
        <v>5.5448361417181008E-3</v>
      </c>
      <c r="K76" s="73">
        <f t="shared" si="10"/>
        <v>8.1975359245961502E-3</v>
      </c>
      <c r="M76" s="56"/>
      <c r="N76" s="57"/>
      <c r="O76" s="58" t="b">
        <f t="shared" si="11"/>
        <v>0</v>
      </c>
      <c r="T76" s="85">
        <f>$U$29-$B$38/100</f>
        <v>36.515640000000005</v>
      </c>
      <c r="U76" s="28">
        <f>$X$29</f>
        <v>5.864414731409804E-2</v>
      </c>
    </row>
    <row r="77" spans="5:21" ht="15" x14ac:dyDescent="0.2">
      <c r="E77" s="72">
        <v>-2.2000000000000002</v>
      </c>
      <c r="F77" s="73">
        <f t="shared" si="6"/>
        <v>9.3526609761654136</v>
      </c>
      <c r="G77" s="73">
        <f t="shared" si="7"/>
        <v>4.0013420883445719E-3</v>
      </c>
      <c r="H77" s="73">
        <f t="shared" si="8"/>
        <v>14.232123597692421</v>
      </c>
      <c r="I77" s="73">
        <f t="shared" si="5"/>
        <v>14.232123597692421</v>
      </c>
      <c r="J77" s="73">
        <f t="shared" si="9"/>
        <v>8.2695837965295876E-3</v>
      </c>
      <c r="K77" s="73">
        <f t="shared" si="10"/>
        <v>1.3903447513498621E-2</v>
      </c>
      <c r="L77" s="16"/>
      <c r="M77" s="56"/>
      <c r="N77" s="57"/>
      <c r="O77" s="58" t="b">
        <f t="shared" si="11"/>
        <v>0</v>
      </c>
      <c r="T77" s="85">
        <f>$U$29+$B$38/100</f>
        <v>36.564360000000008</v>
      </c>
      <c r="U77" s="28">
        <f>$X$30</f>
        <v>3.5186488388458829E-2</v>
      </c>
    </row>
    <row r="78" spans="5:21" ht="15" x14ac:dyDescent="0.2">
      <c r="E78" s="72">
        <v>-2</v>
      </c>
      <c r="F78" s="73">
        <f t="shared" si="6"/>
        <v>11.12579569261791</v>
      </c>
      <c r="G78" s="73">
        <f t="shared" si="7"/>
        <v>6.0898888293392196E-3</v>
      </c>
      <c r="H78" s="73">
        <f t="shared" si="8"/>
        <v>15.116464645639724</v>
      </c>
      <c r="I78" s="73">
        <f t="shared" si="5"/>
        <v>15.116464645639724</v>
      </c>
      <c r="J78" s="73">
        <f t="shared" si="9"/>
        <v>1.1849685083640198E-2</v>
      </c>
      <c r="K78" s="73">
        <f t="shared" si="10"/>
        <v>2.2750131948179153E-2</v>
      </c>
      <c r="L78" s="16"/>
      <c r="M78" s="56"/>
      <c r="N78" s="57"/>
      <c r="O78" s="58" t="b">
        <f t="shared" si="11"/>
        <v>0</v>
      </c>
      <c r="T78" s="85">
        <f>$U$30-$B$38/100</f>
        <v>38.951640000000005</v>
      </c>
      <c r="U78" s="28">
        <f>$X$30</f>
        <v>3.5186488388458829E-2</v>
      </c>
    </row>
    <row r="79" spans="5:21" ht="15" x14ac:dyDescent="0.2">
      <c r="E79" s="72">
        <v>-1.8</v>
      </c>
      <c r="F79" s="73">
        <f t="shared" si="6"/>
        <v>12.898930409070404</v>
      </c>
      <c r="G79" s="73">
        <f t="shared" si="7"/>
        <v>8.9051505865103686E-3</v>
      </c>
      <c r="H79" s="73">
        <f t="shared" si="8"/>
        <v>16.055755967431711</v>
      </c>
      <c r="I79" s="73">
        <f t="shared" si="5"/>
        <v>16.055755967431711</v>
      </c>
      <c r="J79" s="73">
        <f t="shared" si="9"/>
        <v>1.6313914649762163E-2</v>
      </c>
      <c r="K79" s="73">
        <f t="shared" si="10"/>
        <v>3.5930319112925789E-2</v>
      </c>
      <c r="L79" s="16"/>
      <c r="M79" s="56"/>
      <c r="N79" s="57"/>
      <c r="O79" s="58" t="b">
        <f t="shared" si="11"/>
        <v>0</v>
      </c>
      <c r="T79" s="85">
        <f>$U$30+$B$38/100</f>
        <v>39.000360000000008</v>
      </c>
      <c r="U79" s="28">
        <f>$X$31</f>
        <v>3.5186488388458829E-2</v>
      </c>
    </row>
    <row r="80" spans="5:21" ht="15" x14ac:dyDescent="0.2">
      <c r="E80" s="72">
        <v>-1.6</v>
      </c>
      <c r="F80" s="73">
        <f t="shared" si="6"/>
        <v>14.672065125522899</v>
      </c>
      <c r="G80" s="73">
        <f t="shared" si="7"/>
        <v>1.2511269860123716E-2</v>
      </c>
      <c r="H80" s="73">
        <f t="shared" si="8"/>
        <v>17.053412006627926</v>
      </c>
      <c r="I80" s="73">
        <f t="shared" si="5"/>
        <v>17.053412006627926</v>
      </c>
      <c r="J80" s="73">
        <f t="shared" si="9"/>
        <v>2.1579321415847449E-2</v>
      </c>
      <c r="K80" s="73">
        <f t="shared" si="10"/>
        <v>5.4799291699558036E-2</v>
      </c>
      <c r="L80" s="16"/>
      <c r="M80" s="56"/>
      <c r="N80" s="57"/>
      <c r="O80" s="58" t="b">
        <f t="shared" si="11"/>
        <v>0</v>
      </c>
      <c r="T80" s="85">
        <f>$U$31-$B$38/100</f>
        <v>41.387640000000005</v>
      </c>
      <c r="U80" s="28">
        <f>$X$31</f>
        <v>3.5186488388458829E-2</v>
      </c>
    </row>
    <row r="81" spans="5:21" ht="15" x14ac:dyDescent="0.2">
      <c r="E81" s="72">
        <v>-1.4</v>
      </c>
      <c r="F81" s="73">
        <f t="shared" si="6"/>
        <v>16.445199841975395</v>
      </c>
      <c r="G81" s="73">
        <f t="shared" si="7"/>
        <v>1.688844781464819E-2</v>
      </c>
      <c r="H81" s="73">
        <f t="shared" si="8"/>
        <v>18.113059369967552</v>
      </c>
      <c r="I81" s="73">
        <f t="shared" si="5"/>
        <v>18.113059369967552</v>
      </c>
      <c r="J81" s="73">
        <f t="shared" si="9"/>
        <v>2.7424934708421125E-2</v>
      </c>
      <c r="K81" s="73">
        <f t="shared" si="10"/>
        <v>8.0756659233771025E-2</v>
      </c>
      <c r="L81" s="14"/>
      <c r="M81" s="56"/>
      <c r="N81" s="57"/>
      <c r="O81" s="58" t="b">
        <f t="shared" si="11"/>
        <v>0</v>
      </c>
      <c r="T81" s="85">
        <f>$U$31+$B$38/100</f>
        <v>41.436360000000008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18.218334558427891</v>
      </c>
      <c r="G82" s="73">
        <f t="shared" si="7"/>
        <v>2.1903136087902047E-2</v>
      </c>
      <c r="H82" s="73">
        <f t="shared" si="8"/>
        <v>19.238550010546732</v>
      </c>
      <c r="I82" s="73">
        <f t="shared" si="5"/>
        <v>19.238550010546732</v>
      </c>
      <c r="J82" s="73">
        <f t="shared" si="9"/>
        <v>3.3487416338119538E-2</v>
      </c>
      <c r="K82" s="73">
        <f t="shared" si="10"/>
        <v>0.11506967022170837</v>
      </c>
      <c r="L82" s="14"/>
      <c r="M82" s="56"/>
      <c r="N82" s="57"/>
      <c r="O82" s="58" t="b">
        <f t="shared" si="11"/>
        <v>0</v>
      </c>
      <c r="T82" s="85">
        <f>$U$32-$B$38/100</f>
        <v>43.823640000000005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19.991469274880384</v>
      </c>
      <c r="G83" s="73">
        <f t="shared" si="7"/>
        <v>2.7292988206023449E-2</v>
      </c>
      <c r="H83" s="73">
        <f t="shared" si="8"/>
        <v>20.433975230158509</v>
      </c>
      <c r="I83" s="73">
        <f t="shared" si="5"/>
        <v>20.433975230158509</v>
      </c>
      <c r="J83" s="73">
        <f t="shared" si="9"/>
        <v>3.9286731763300962E-2</v>
      </c>
      <c r="K83" s="73">
        <f t="shared" si="10"/>
        <v>0.15865525393145691</v>
      </c>
      <c r="L83" s="14"/>
      <c r="M83" s="56"/>
      <c r="N83" s="57"/>
      <c r="O83" s="58" t="b">
        <f t="shared" si="11"/>
        <v>0</v>
      </c>
      <c r="T83" s="85">
        <f>$U$32+$B$38/100</f>
        <v>43.872360000000008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21.764603991332876</v>
      </c>
      <c r="G84" s="73">
        <f t="shared" si="7"/>
        <v>3.2675639371730049E-2</v>
      </c>
      <c r="H84" s="73">
        <f t="shared" si="8"/>
        <v>21.703680551695886</v>
      </c>
      <c r="I84" s="73">
        <f t="shared" si="5"/>
        <v>21.703680551695886</v>
      </c>
      <c r="J84" s="73">
        <f t="shared" si="9"/>
        <v>4.4283137393618673E-2</v>
      </c>
      <c r="K84" s="73">
        <f t="shared" si="10"/>
        <v>0.21185539858339672</v>
      </c>
      <c r="M84" s="56"/>
      <c r="N84" s="57"/>
      <c r="O84" s="58" t="b">
        <f t="shared" si="11"/>
        <v>0</v>
      </c>
      <c r="T84" s="85">
        <f>$U$33-$B$38/100</f>
        <v>46.259640000000005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23.537738707785373</v>
      </c>
      <c r="G85" s="73">
        <f t="shared" si="7"/>
        <v>3.7585931830208717E-2</v>
      </c>
      <c r="H85" s="73">
        <f t="shared" si="8"/>
        <v>23.052281515680782</v>
      </c>
      <c r="I85" s="73">
        <f t="shared" si="5"/>
        <v>23.052281515680782</v>
      </c>
      <c r="J85" s="73">
        <f t="shared" si="9"/>
        <v>4.7957781413326815E-2</v>
      </c>
      <c r="K85" s="73">
        <f t="shared" si="10"/>
        <v>0.27425311775007338</v>
      </c>
      <c r="M85" s="56"/>
      <c r="N85" s="57"/>
      <c r="O85" s="58" t="b">
        <f t="shared" si="11"/>
        <v>0</v>
      </c>
      <c r="T85" s="85">
        <f>$U$33+$B$38/100</f>
        <v>46.308360000000008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25.310873424237869</v>
      </c>
      <c r="G86" s="73">
        <f t="shared" si="7"/>
        <v>4.1538878787520474E-2</v>
      </c>
      <c r="H86" s="73">
        <f t="shared" si="8"/>
        <v>24.484680458341654</v>
      </c>
      <c r="I86" s="73">
        <f t="shared" si="5"/>
        <v>24.484680458341654</v>
      </c>
      <c r="J86" s="73">
        <f t="shared" si="9"/>
        <v>4.9900857207847302E-2</v>
      </c>
      <c r="K86" s="73">
        <f t="shared" si="10"/>
        <v>0.34457825838967582</v>
      </c>
      <c r="M86" s="56"/>
      <c r="N86" s="57"/>
      <c r="O86" s="58" t="b">
        <f t="shared" si="11"/>
        <v>0</v>
      </c>
      <c r="T86" s="85">
        <f>$U$34-$B$38/100</f>
        <v>48.695640000000004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27.084008140690361</v>
      </c>
      <c r="G87" s="73">
        <f t="shared" si="7"/>
        <v>4.4107499599107036E-2</v>
      </c>
      <c r="H87" s="73">
        <f t="shared" si="8"/>
        <v>26.006084332229836</v>
      </c>
      <c r="I87" s="73">
        <f t="shared" si="5"/>
        <v>26.006084332229836</v>
      </c>
      <c r="J87" s="73">
        <f t="shared" si="9"/>
        <v>4.9886742807711958E-2</v>
      </c>
      <c r="K87" s="73">
        <f t="shared" si="10"/>
        <v>0.42074029056089668</v>
      </c>
      <c r="M87" s="56"/>
      <c r="N87" s="57"/>
      <c r="O87" s="58" t="b">
        <f t="shared" si="11"/>
        <v>0</v>
      </c>
      <c r="T87" s="85">
        <f>$U$34+$B$38/100</f>
        <v>48.744360000000007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28.857142857142858</v>
      </c>
      <c r="G88" s="73">
        <f t="shared" si="7"/>
        <v>4.4998530196238597E-2</v>
      </c>
      <c r="H88" s="73">
        <f t="shared" si="8"/>
        <v>27.622023634155173</v>
      </c>
      <c r="I88" s="73">
        <f t="shared" si="5"/>
        <v>27.622023634155173</v>
      </c>
      <c r="J88" s="73">
        <f t="shared" si="9"/>
        <v>4.7917098512471577E-2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51.131640000000004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30.630277573595354</v>
      </c>
      <c r="G89" s="73">
        <f t="shared" si="7"/>
        <v>4.4107499599107036E-2</v>
      </c>
      <c r="H89" s="73">
        <f t="shared" si="8"/>
        <v>29.338372509246078</v>
      </c>
      <c r="I89" s="73">
        <f t="shared" si="5"/>
        <v>29.338372509246078</v>
      </c>
      <c r="J89" s="73">
        <f t="shared" si="9"/>
        <v>4.4220545638949497E-2</v>
      </c>
      <c r="K89" s="73">
        <f t="shared" si="10"/>
        <v>0.57925970943910332</v>
      </c>
      <c r="M89" s="56"/>
      <c r="N89" s="57"/>
      <c r="O89" s="58" t="b">
        <f t="shared" si="11"/>
        <v>0</v>
      </c>
      <c r="T89" s="85">
        <f>$U$35+$B$38/100</f>
        <v>51.180360000000007</v>
      </c>
      <c r="U89" s="28">
        <f>$X$36</f>
        <v>1.1728829462819609E-2</v>
      </c>
    </row>
    <row r="90" spans="5:21" ht="15" x14ac:dyDescent="0.2">
      <c r="E90" s="72">
        <v>0.4</v>
      </c>
      <c r="F90" s="73">
        <f t="shared" si="6"/>
        <v>32.403412290047847</v>
      </c>
      <c r="G90" s="73">
        <f t="shared" si="7"/>
        <v>4.1538878787520474E-2</v>
      </c>
      <c r="H90" s="73">
        <f t="shared" si="8"/>
        <v>31.161370104215084</v>
      </c>
      <c r="I90" s="73">
        <f t="shared" si="5"/>
        <v>31.161370104215084</v>
      </c>
      <c r="J90" s="73">
        <f t="shared" si="9"/>
        <v>3.9209012288140915E-2</v>
      </c>
      <c r="K90" s="73">
        <f t="shared" si="10"/>
        <v>0.65542174161032418</v>
      </c>
      <c r="M90" s="56"/>
      <c r="N90" s="57"/>
      <c r="O90" s="58" t="b">
        <f t="shared" si="11"/>
        <v>0</v>
      </c>
      <c r="T90" s="85">
        <f>$U$36-$B$38/100</f>
        <v>53.567640000000004</v>
      </c>
      <c r="U90" s="28">
        <f>$X$36</f>
        <v>1.1728829462819609E-2</v>
      </c>
    </row>
    <row r="91" spans="5:21" ht="15" x14ac:dyDescent="0.2">
      <c r="E91" s="72">
        <v>0.6</v>
      </c>
      <c r="F91" s="73">
        <f t="shared" si="6"/>
        <v>34.176547006500343</v>
      </c>
      <c r="G91" s="73">
        <f t="shared" si="7"/>
        <v>3.7585931830208717E-2</v>
      </c>
      <c r="H91" s="73">
        <f t="shared" si="8"/>
        <v>33.097643247451671</v>
      </c>
      <c r="I91" s="73">
        <f t="shared" si="5"/>
        <v>33.097643247451671</v>
      </c>
      <c r="J91" s="73">
        <f t="shared" si="9"/>
        <v>3.3402265827268927E-2</v>
      </c>
      <c r="K91" s="73">
        <f t="shared" si="10"/>
        <v>0.72574688224992667</v>
      </c>
      <c r="M91" s="56"/>
      <c r="N91" s="57"/>
      <c r="O91" s="58" t="b">
        <f t="shared" si="11"/>
        <v>0</v>
      </c>
      <c r="T91" s="85">
        <f>$U$36+$B$38/100</f>
        <v>53.616360000000007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35.949681722952924</v>
      </c>
      <c r="G92" s="73">
        <f t="shared" si="7"/>
        <v>3.2675639371729806E-2</v>
      </c>
      <c r="H92" s="73">
        <f t="shared" si="8"/>
        <v>35.154230538387274</v>
      </c>
      <c r="I92" s="73">
        <f t="shared" si="5"/>
        <v>35.154230538387274</v>
      </c>
      <c r="J92" s="73">
        <f t="shared" si="9"/>
        <v>2.733972705698829E-2</v>
      </c>
      <c r="K92" s="73">
        <f t="shared" si="10"/>
        <v>0.78814460141660625</v>
      </c>
      <c r="M92" s="56"/>
      <c r="N92" s="57"/>
      <c r="O92" s="58" t="b">
        <f t="shared" si="11"/>
        <v>0</v>
      </c>
      <c r="T92" s="85">
        <f>$U$37-$B$38/100</f>
        <v>56.003640000000004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37.72281643940542</v>
      </c>
      <c r="G93" s="73">
        <f t="shared" si="7"/>
        <v>2.7292988206023171E-2</v>
      </c>
      <c r="H93" s="73">
        <f t="shared" si="8"/>
        <v>37.338607933700175</v>
      </c>
      <c r="I93" s="73">
        <f t="shared" si="5"/>
        <v>37.338607933700175</v>
      </c>
      <c r="J93" s="73">
        <f t="shared" si="9"/>
        <v>2.1500108015559082E-2</v>
      </c>
      <c r="K93" s="73">
        <f t="shared" si="10"/>
        <v>0.84134474606854559</v>
      </c>
      <c r="M93" s="56"/>
      <c r="N93" s="57"/>
      <c r="O93" s="58" t="b">
        <f t="shared" si="11"/>
        <v>0</v>
      </c>
      <c r="T93" s="85">
        <f>$U$37+$B$38/100</f>
        <v>56.052360000000007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39.495951155857917</v>
      </c>
      <c r="G94" s="73">
        <f t="shared" si="7"/>
        <v>2.1903136087901773E-2</v>
      </c>
      <c r="H94" s="73">
        <f t="shared" si="8"/>
        <v>39.658715923370501</v>
      </c>
      <c r="I94" s="73">
        <f t="shared" si="5"/>
        <v>39.658715923370501</v>
      </c>
      <c r="J94" s="73">
        <f t="shared" si="9"/>
        <v>1.6244835944505567E-2</v>
      </c>
      <c r="K94" s="73">
        <f t="shared" si="10"/>
        <v>0.88493032977829367</v>
      </c>
      <c r="M94" s="56"/>
      <c r="N94" s="57"/>
      <c r="O94" s="58" t="b">
        <f t="shared" si="11"/>
        <v>0</v>
      </c>
      <c r="T94" s="85">
        <f>$U$38-$B$38/100</f>
        <v>58.439640000000011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41.269085872310413</v>
      </c>
      <c r="G95" s="73">
        <f t="shared" si="7"/>
        <v>1.6888447814647944E-2</v>
      </c>
      <c r="H95" s="73">
        <f t="shared" si="8"/>
        <v>42.122988395372118</v>
      </c>
      <c r="I95" s="73">
        <f t="shared" si="5"/>
        <v>42.122988395372118</v>
      </c>
      <c r="J95" s="73">
        <f t="shared" si="9"/>
        <v>1.1792835444830032E-2</v>
      </c>
      <c r="K95" s="73">
        <f t="shared" si="10"/>
        <v>0.9192433407662306</v>
      </c>
      <c r="M95" s="56"/>
      <c r="N95" s="57"/>
      <c r="O95" s="58" t="b">
        <f t="shared" si="11"/>
        <v>0</v>
      </c>
      <c r="T95" s="85">
        <f>$U$38+$B$38/100</f>
        <v>58.488360000000014</v>
      </c>
      <c r="U95" s="28">
        <f>$X$39</f>
        <v>1.1728829462819609E-2</v>
      </c>
    </row>
    <row r="96" spans="5:21" ht="15" x14ac:dyDescent="0.2">
      <c r="E96" s="72">
        <v>1.6000000000000101</v>
      </c>
      <c r="F96" s="73">
        <f t="shared" si="6"/>
        <v>43.042220588762902</v>
      </c>
      <c r="G96" s="73">
        <f t="shared" si="7"/>
        <v>1.2511269860123525E-2</v>
      </c>
      <c r="H96" s="73">
        <f t="shared" si="8"/>
        <v>44.740383293929298</v>
      </c>
      <c r="I96" s="73">
        <f t="shared" si="5"/>
        <v>44.740383293929298</v>
      </c>
      <c r="J96" s="73">
        <f t="shared" si="9"/>
        <v>8.2252549449620613E-3</v>
      </c>
      <c r="K96" s="73">
        <f t="shared" si="10"/>
        <v>0.94520070830044312</v>
      </c>
      <c r="M96" s="56"/>
      <c r="N96" s="57"/>
      <c r="O96" s="58" t="b">
        <f t="shared" si="11"/>
        <v>0</v>
      </c>
      <c r="T96" s="85">
        <f>$U$39-$B$38/100</f>
        <v>60.875640000000011</v>
      </c>
      <c r="U96" s="28">
        <f>$X$39</f>
        <v>1.1728829462819609E-2</v>
      </c>
    </row>
    <row r="97" spans="5:21" ht="15" x14ac:dyDescent="0.2">
      <c r="E97" s="72">
        <v>1.80000000000001</v>
      </c>
      <c r="F97" s="73">
        <f t="shared" si="6"/>
        <v>44.815355305215398</v>
      </c>
      <c r="G97" s="73">
        <f t="shared" si="7"/>
        <v>8.9051505865102125E-3</v>
      </c>
      <c r="H97" s="73">
        <f t="shared" si="8"/>
        <v>47.520415182784788</v>
      </c>
      <c r="I97" s="73">
        <f t="shared" si="5"/>
        <v>47.520415182784788</v>
      </c>
      <c r="J97" s="73">
        <f t="shared" si="9"/>
        <v>5.5119937711523995E-3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60.924360000000014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46.588490021667894</v>
      </c>
      <c r="G98" s="73">
        <f t="shared" si="7"/>
        <v>6.0898888293390938E-3</v>
      </c>
      <c r="H98" s="73">
        <f t="shared" si="8"/>
        <v>50.473189831850405</v>
      </c>
      <c r="I98" s="73">
        <f t="shared" si="5"/>
        <v>50.473189831850405</v>
      </c>
      <c r="J98" s="73">
        <f t="shared" si="9"/>
        <v>3.5489206492705901E-3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48.361624738120383</v>
      </c>
      <c r="G99" s="73">
        <f t="shared" si="7"/>
        <v>4.0013420883444895E-3</v>
      </c>
      <c r="H99" s="73">
        <f t="shared" si="8"/>
        <v>53.609440952967645</v>
      </c>
      <c r="I99" s="73">
        <f t="shared" si="5"/>
        <v>53.609440952967645</v>
      </c>
      <c r="J99" s="73">
        <f t="shared" si="9"/>
        <v>2.1953920168079253E-3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50.134759454572887</v>
      </c>
      <c r="G100" s="73">
        <f t="shared" si="7"/>
        <v>2.5259818204503969E-3</v>
      </c>
      <c r="H100" s="73">
        <f t="shared" si="8"/>
        <v>56.94056921831686</v>
      </c>
      <c r="I100" s="73">
        <f t="shared" si="5"/>
        <v>56.94056921831686</v>
      </c>
      <c r="J100" s="73">
        <f t="shared" si="9"/>
        <v>1.3048364889191465E-3</v>
      </c>
      <c r="K100" s="73">
        <f t="shared" si="10"/>
        <v>0.99180246407540418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51.907894171025376</v>
      </c>
      <c r="G101" s="73">
        <f t="shared" si="7"/>
        <v>1.532085419979896E-3</v>
      </c>
      <c r="H101" s="73">
        <f t="shared" si="8"/>
        <v>60.478683703312385</v>
      </c>
      <c r="I101" s="73">
        <f t="shared" si="5"/>
        <v>60.478683703312385</v>
      </c>
      <c r="J101" s="73">
        <f t="shared" si="9"/>
        <v>7.45123612324187E-4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53.681028887477872</v>
      </c>
      <c r="G102" s="73">
        <f t="shared" si="7"/>
        <v>8.9282010098095223E-4</v>
      </c>
      <c r="H102" s="73">
        <f t="shared" si="8"/>
        <v>64.236645904633647</v>
      </c>
      <c r="I102" s="73">
        <f t="shared" si="5"/>
        <v>64.236645904633647</v>
      </c>
      <c r="J102" s="73">
        <f t="shared" si="9"/>
        <v>4.0881684268160223E-4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55.454163603930368</v>
      </c>
      <c r="G103" s="73">
        <f t="shared" si="7"/>
        <v>4.9988851617599136E-4</v>
      </c>
      <c r="H103" s="73">
        <f t="shared" si="8"/>
        <v>68.228116493403334</v>
      </c>
      <c r="I103" s="73">
        <f t="shared" si="5"/>
        <v>68.228116493403334</v>
      </c>
      <c r="J103" s="73">
        <f t="shared" si="9"/>
        <v>2.15505051364968E-4</v>
      </c>
      <c r="K103" s="73">
        <f t="shared" si="10"/>
        <v>0.99865010196837001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57.227298320382857</v>
      </c>
      <c r="G104" s="73">
        <f t="shared" si="7"/>
        <v>2.6891224669433001E-4</v>
      </c>
      <c r="H104" s="73">
        <f t="shared" si="8"/>
        <v>72.467604973466138</v>
      </c>
      <c r="I104" s="73">
        <f t="shared" si="5"/>
        <v>72.467604973466138</v>
      </c>
      <c r="J104" s="73">
        <f t="shared" si="9"/>
        <v>1.0914763994288172E-4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59.000433036835361</v>
      </c>
      <c r="G105" s="73">
        <f t="shared" si="7"/>
        <v>1.3898765356512496E-4</v>
      </c>
      <c r="H105" s="73">
        <f t="shared" si="8"/>
        <v>76.97052242528315</v>
      </c>
      <c r="I105" s="73">
        <f t="shared" si="5"/>
        <v>76.97052242528315</v>
      </c>
      <c r="J105" s="73">
        <f t="shared" si="9"/>
        <v>5.3112832820743611E-5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60.77356775328785</v>
      </c>
      <c r="G106" s="73">
        <f t="shared" si="7"/>
        <v>6.9019226168892694E-5</v>
      </c>
      <c r="H106" s="73">
        <f t="shared" si="8"/>
        <v>81.753237527171578</v>
      </c>
      <c r="I106" s="73">
        <f t="shared" si="5"/>
        <v>81.753237527171578</v>
      </c>
      <c r="J106" s="73">
        <f t="shared" si="9"/>
        <v>2.48320630459329E-5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62.546702469740353</v>
      </c>
      <c r="G107" s="73">
        <f t="shared" si="7"/>
        <v>3.2930033243672082E-5</v>
      </c>
      <c r="H107" s="73">
        <f t="shared" si="8"/>
        <v>86.833136057534745</v>
      </c>
      <c r="I107" s="73">
        <f t="shared" si="5"/>
        <v>86.833136057534745</v>
      </c>
      <c r="J107" s="73">
        <f t="shared" si="9"/>
        <v>1.1154609204263433E-5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64.319837186192842</v>
      </c>
      <c r="G108" s="73">
        <f t="shared" si="7"/>
        <v>1.5095325191380141E-5</v>
      </c>
      <c r="H108" s="73">
        <f t="shared" si="8"/>
        <v>92.228684094380171</v>
      </c>
      <c r="I108" s="73">
        <f t="shared" si="5"/>
        <v>92.228684094380171</v>
      </c>
      <c r="J108" s="73">
        <f t="shared" si="9"/>
        <v>4.8142001019893936E-6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66.092971902645331</v>
      </c>
      <c r="G109" s="73">
        <f t="shared" si="7"/>
        <v>6.6484590493456546E-6</v>
      </c>
      <c r="H109" s="73">
        <f t="shared" si="8"/>
        <v>97.959495141864963</v>
      </c>
      <c r="I109" s="73">
        <f t="shared" si="5"/>
        <v>97.959495141864963</v>
      </c>
      <c r="J109" s="73">
        <f t="shared" si="9"/>
        <v>1.9962831295762822E-6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67.866106619097835</v>
      </c>
      <c r="G110" s="73">
        <f t="shared" si="7"/>
        <v>2.8133757755253696E-6</v>
      </c>
      <c r="H110" s="73">
        <f t="shared" si="8"/>
        <v>104.0464014278806</v>
      </c>
      <c r="I110" s="73">
        <f t="shared" si="5"/>
        <v>104.0464014278806</v>
      </c>
      <c r="J110" s="73">
        <f t="shared" si="9"/>
        <v>7.9533181619408737E-7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69.639241335550324</v>
      </c>
      <c r="G111" s="73">
        <f t="shared" si="7"/>
        <v>1.1438332317777953E-6</v>
      </c>
      <c r="H111" s="73">
        <f t="shared" si="8"/>
        <v>110.51152963185416</v>
      </c>
      <c r="I111" s="73">
        <f t="shared" si="5"/>
        <v>110.51152963185416</v>
      </c>
      <c r="J111" s="73">
        <f t="shared" si="9"/>
        <v>3.044407593281332E-7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71.412376052002813</v>
      </c>
      <c r="G112" s="73">
        <f t="shared" si="7"/>
        <v>4.4681309934050193E-7</v>
      </c>
      <c r="H112" s="73">
        <f t="shared" si="8"/>
        <v>117.37838131804517</v>
      </c>
      <c r="I112" s="73">
        <f t="shared" si="5"/>
        <v>117.37838131804517</v>
      </c>
      <c r="J112" s="73">
        <f t="shared" si="9"/>
        <v>1.1196581804824575E-7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73.185510768455231</v>
      </c>
      <c r="G113" s="73">
        <f t="shared" si="7"/>
        <v>1.6769391529469041E-7</v>
      </c>
      <c r="H113" s="73">
        <f t="shared" si="8"/>
        <v>124.67191836672451</v>
      </c>
      <c r="I113" s="73">
        <f t="shared" si="5"/>
        <v>124.67191836672451</v>
      </c>
      <c r="J113" s="73">
        <f t="shared" si="9"/>
        <v>3.9563648909730951E-8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-0.28561626399284651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113.04722918304962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-2.0526943628944075E-3</v>
      </c>
      <c r="H120" s="69" t="s">
        <v>50</v>
      </c>
      <c r="I120" s="79">
        <f>IF($B$9&gt;3,INDEX(XX!$C$4:$C$150,$B$9))</f>
        <v>0.32019999999999998</v>
      </c>
      <c r="J120" s="79">
        <f>IF($B$9&gt;3,INDEX(XX!$D$4:$D$150,$B$9))</f>
        <v>0.4128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12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0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42696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0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52"/>
  <sheetViews>
    <sheetView zoomScale="75" workbookViewId="0">
      <selection activeCell="M3" sqref="M3:N75"/>
    </sheetView>
  </sheetViews>
  <sheetFormatPr baseColWidth="10" defaultColWidth="11.5703125" defaultRowHeight="12.75" x14ac:dyDescent="0.2"/>
  <cols>
    <col min="1" max="1" width="25.7109375" style="1" customWidth="1"/>
    <col min="2" max="3" width="16.7109375" style="1" customWidth="1"/>
    <col min="4" max="4" width="4.140625" style="1" customWidth="1"/>
    <col min="5" max="5" width="11.7109375" style="1" bestFit="1" customWidth="1"/>
    <col min="6" max="6" width="17.5703125" style="1" customWidth="1"/>
    <col min="7" max="7" width="13.85546875" style="1" bestFit="1" customWidth="1"/>
    <col min="8" max="8" width="18.5703125" style="1" customWidth="1"/>
    <col min="9" max="9" width="11.7109375" style="1" bestFit="1" customWidth="1"/>
    <col min="10" max="10" width="15.140625" style="1" customWidth="1"/>
    <col min="11" max="11" width="13.85546875" style="1" bestFit="1" customWidth="1"/>
    <col min="12" max="12" width="4.7109375" style="1" customWidth="1"/>
    <col min="13" max="13" width="13.7109375" style="1" customWidth="1"/>
    <col min="14" max="14" width="12.42578125" style="1" bestFit="1" customWidth="1"/>
    <col min="15" max="15" width="11.7109375" style="1" bestFit="1" customWidth="1"/>
    <col min="16" max="16" width="8" style="1" customWidth="1"/>
    <col min="17" max="21" width="11.5703125" style="1"/>
    <col min="22" max="25" width="11.7109375" style="1" bestFit="1" customWidth="1"/>
    <col min="26" max="16384" width="11.5703125" style="1"/>
  </cols>
  <sheetData>
    <row r="1" spans="1:24" ht="15" customHeight="1" x14ac:dyDescent="0.25">
      <c r="A1" s="149" t="s">
        <v>124</v>
      </c>
      <c r="B1" s="150"/>
      <c r="C1" s="150"/>
      <c r="E1" s="160" t="s">
        <v>16</v>
      </c>
      <c r="F1" s="160"/>
      <c r="G1" s="160"/>
      <c r="T1" s="83" t="s">
        <v>30</v>
      </c>
      <c r="U1" s="2"/>
      <c r="V1" s="2"/>
    </row>
    <row r="2" spans="1:24" ht="15" customHeight="1" x14ac:dyDescent="0.2">
      <c r="A2" s="151"/>
      <c r="B2" s="150"/>
      <c r="C2" s="150"/>
      <c r="M2" s="55" t="s">
        <v>0</v>
      </c>
      <c r="N2" s="55" t="s">
        <v>79</v>
      </c>
      <c r="O2" s="55" t="s">
        <v>1</v>
      </c>
      <c r="T2" s="11"/>
      <c r="U2" s="79">
        <v>0</v>
      </c>
      <c r="V2" s="79">
        <v>1000</v>
      </c>
    </row>
    <row r="3" spans="1:24" ht="15" customHeight="1" x14ac:dyDescent="0.2">
      <c r="A3" s="97" t="s">
        <v>99</v>
      </c>
      <c r="B3" s="153" t="str">
        <f>pH!$B$3</f>
        <v>Deponie Gruselsumpf</v>
      </c>
      <c r="C3" s="153"/>
      <c r="M3" s="56">
        <v>35808</v>
      </c>
      <c r="N3" s="57">
        <v>0.01</v>
      </c>
      <c r="O3" s="58">
        <f t="shared" ref="O3:O66" si="0">IF($N3&gt;0,LN($N3+$B$26))</f>
        <v>-2.0402208285265546</v>
      </c>
      <c r="T3" s="69" t="s">
        <v>109</v>
      </c>
      <c r="U3" s="82">
        <f>$B$21</f>
        <v>5.8179464915800186E-2</v>
      </c>
      <c r="V3" s="82">
        <f t="shared" ref="V3:V10" si="1">U3</f>
        <v>5.8179464915800186E-2</v>
      </c>
    </row>
    <row r="4" spans="1:24" ht="15" customHeight="1" x14ac:dyDescent="0.2">
      <c r="A4" s="98" t="s">
        <v>33</v>
      </c>
      <c r="B4" s="152" t="str">
        <f>pH!$B$4</f>
        <v>WG9999</v>
      </c>
      <c r="C4" s="153"/>
      <c r="M4" s="56">
        <v>35908</v>
      </c>
      <c r="N4" s="57">
        <v>0.01</v>
      </c>
      <c r="O4" s="58">
        <f t="shared" si="0"/>
        <v>-2.0402208285265546</v>
      </c>
      <c r="T4" s="69" t="s">
        <v>111</v>
      </c>
      <c r="U4" s="82">
        <f>$B$31</f>
        <v>5.1599801411945617E-2</v>
      </c>
      <c r="V4" s="82">
        <f t="shared" si="1"/>
        <v>5.1599801411945617E-2</v>
      </c>
    </row>
    <row r="5" spans="1:24" ht="15" customHeight="1" x14ac:dyDescent="0.2">
      <c r="A5" s="97" t="s">
        <v>70</v>
      </c>
      <c r="B5" s="20" t="s">
        <v>71</v>
      </c>
      <c r="C5" s="18"/>
      <c r="D5" s="4"/>
      <c r="M5" s="56">
        <v>35996</v>
      </c>
      <c r="N5" s="57">
        <v>0.01</v>
      </c>
      <c r="O5" s="58">
        <f t="shared" si="0"/>
        <v>-2.0402208285265546</v>
      </c>
      <c r="T5" s="69" t="s">
        <v>110</v>
      </c>
      <c r="U5" s="82">
        <f>$B$22</f>
        <v>6.3611052086207848E-2</v>
      </c>
      <c r="V5" s="82">
        <f t="shared" si="1"/>
        <v>6.3611052086207848E-2</v>
      </c>
    </row>
    <row r="6" spans="1:24" ht="15" customHeight="1" x14ac:dyDescent="0.25">
      <c r="A6" s="107" t="s">
        <v>18</v>
      </c>
      <c r="B6" s="116">
        <v>0.5</v>
      </c>
      <c r="C6" s="18"/>
      <c r="M6" s="56">
        <v>36108</v>
      </c>
      <c r="N6" s="57">
        <v>0.04</v>
      </c>
      <c r="O6" s="58">
        <f t="shared" si="0"/>
        <v>-1.8325814637483102</v>
      </c>
      <c r="T6" s="69" t="s">
        <v>29</v>
      </c>
      <c r="U6" s="82">
        <f>$B$32</f>
        <v>5.7876047959525889E-2</v>
      </c>
      <c r="V6" s="82">
        <f t="shared" si="1"/>
        <v>5.7876047959525889E-2</v>
      </c>
    </row>
    <row r="7" spans="1:24" ht="15" customHeight="1" x14ac:dyDescent="0.2">
      <c r="D7" s="4"/>
      <c r="F7" s="5"/>
      <c r="M7" s="56">
        <v>36161</v>
      </c>
      <c r="N7" s="57">
        <v>0.01</v>
      </c>
      <c r="O7" s="58">
        <f t="shared" si="0"/>
        <v>-2.0402208285265546</v>
      </c>
      <c r="T7" s="69" t="s">
        <v>31</v>
      </c>
      <c r="U7" s="82">
        <f>$C$21</f>
        <v>6.7110426665562689E-5</v>
      </c>
      <c r="V7" s="82">
        <f t="shared" si="1"/>
        <v>6.7110426665562689E-5</v>
      </c>
    </row>
    <row r="8" spans="1:24" ht="15" customHeight="1" x14ac:dyDescent="0.25">
      <c r="A8" s="140" t="s">
        <v>12</v>
      </c>
      <c r="B8" s="140"/>
      <c r="C8" s="140"/>
      <c r="D8" s="4"/>
      <c r="M8" s="56">
        <v>36251</v>
      </c>
      <c r="N8" s="57">
        <v>0.02</v>
      </c>
      <c r="O8" s="58">
        <f t="shared" si="0"/>
        <v>-1.966112856372833</v>
      </c>
      <c r="T8" s="69" t="s">
        <v>32</v>
      </c>
      <c r="U8" s="82">
        <f>$C$31</f>
        <v>-2.0792775977736717</v>
      </c>
      <c r="V8" s="82">
        <f t="shared" si="1"/>
        <v>-2.0792775977736717</v>
      </c>
    </row>
    <row r="9" spans="1:24" ht="15" customHeight="1" x14ac:dyDescent="0.2">
      <c r="A9" s="101" t="s">
        <v>11</v>
      </c>
      <c r="B9" s="59">
        <f>COUNT($M$3:$M252)</f>
        <v>73</v>
      </c>
      <c r="C9" s="60"/>
      <c r="D9" s="4"/>
      <c r="M9" s="56">
        <v>36276</v>
      </c>
      <c r="N9" s="57">
        <v>0.02</v>
      </c>
      <c r="O9" s="58">
        <f t="shared" si="0"/>
        <v>-1.966112856372833</v>
      </c>
      <c r="T9" s="69" t="s">
        <v>112</v>
      </c>
      <c r="U9" s="82">
        <f>$C$22</f>
        <v>-5.3644767437420922E-3</v>
      </c>
      <c r="V9" s="82">
        <f t="shared" si="1"/>
        <v>-5.3644767437420922E-3</v>
      </c>
    </row>
    <row r="10" spans="1:24" ht="15" customHeight="1" x14ac:dyDescent="0.2">
      <c r="A10" s="102" t="s">
        <v>7</v>
      </c>
      <c r="B10" s="61">
        <f>MIN($N$3:$N$252)</f>
        <v>0.01</v>
      </c>
      <c r="C10" s="60"/>
      <c r="D10" s="4"/>
      <c r="M10" s="56">
        <v>36342</v>
      </c>
      <c r="N10" s="57">
        <v>0.06</v>
      </c>
      <c r="O10" s="58">
        <f t="shared" si="0"/>
        <v>-1.7147984280919266</v>
      </c>
      <c r="T10" s="69" t="s">
        <v>113</v>
      </c>
      <c r="U10" s="82">
        <f>$C$32</f>
        <v>-2.1114648413544579</v>
      </c>
      <c r="V10" s="82">
        <f t="shared" si="1"/>
        <v>-2.1114648413544579</v>
      </c>
    </row>
    <row r="11" spans="1:24" ht="15" customHeight="1" x14ac:dyDescent="0.2">
      <c r="A11" s="102" t="s">
        <v>8</v>
      </c>
      <c r="B11" s="61">
        <f>MAX($N$3:$N$252)</f>
        <v>0.12</v>
      </c>
      <c r="C11" s="60"/>
      <c r="D11" s="4"/>
      <c r="M11" s="56">
        <v>36434</v>
      </c>
      <c r="N11" s="57">
        <v>0.03</v>
      </c>
      <c r="O11" s="58">
        <f t="shared" si="0"/>
        <v>-1.8971199848858813</v>
      </c>
      <c r="T11" s="69" t="s">
        <v>68</v>
      </c>
      <c r="U11" s="82">
        <f>$B$12</f>
        <v>0.03</v>
      </c>
      <c r="V11" s="82">
        <f>U11</f>
        <v>0.03</v>
      </c>
    </row>
    <row r="12" spans="1:24" ht="15" customHeight="1" x14ac:dyDescent="0.2">
      <c r="A12" s="102" t="s">
        <v>68</v>
      </c>
      <c r="B12" s="62">
        <f>MEDIAN($N$3:$N$252)</f>
        <v>0.03</v>
      </c>
      <c r="C12" s="50"/>
      <c r="D12" s="4"/>
      <c r="M12" s="56">
        <v>36557</v>
      </c>
      <c r="N12" s="57">
        <v>0.02</v>
      </c>
      <c r="O12" s="58">
        <f t="shared" si="0"/>
        <v>-1.966112856372833</v>
      </c>
    </row>
    <row r="13" spans="1:24" ht="15" customHeight="1" x14ac:dyDescent="0.2">
      <c r="A13" s="106" t="s">
        <v>69</v>
      </c>
      <c r="B13" s="20" t="str">
        <f>IF(ABS($G$118)&gt;$J$120,"&gt; 99%",IF(ABS($G$118)&gt;$I$120,"&gt; 95%","nicht signifikant"))</f>
        <v>&gt; 99%</v>
      </c>
      <c r="C13" s="50"/>
      <c r="M13" s="56">
        <v>36651</v>
      </c>
      <c r="N13" s="57">
        <v>0.05</v>
      </c>
      <c r="O13" s="58">
        <f t="shared" si="0"/>
        <v>-1.7719568419318754</v>
      </c>
      <c r="T13" s="69" t="s">
        <v>9</v>
      </c>
      <c r="U13" s="69" t="s">
        <v>22</v>
      </c>
      <c r="V13" s="69" t="s">
        <v>10</v>
      </c>
      <c r="W13" s="69" t="s">
        <v>24</v>
      </c>
      <c r="X13" s="69" t="s">
        <v>23</v>
      </c>
    </row>
    <row r="14" spans="1:24" ht="15" customHeight="1" x14ac:dyDescent="0.2">
      <c r="D14" s="4"/>
      <c r="M14" s="56">
        <v>36733</v>
      </c>
      <c r="N14" s="57">
        <v>0.02</v>
      </c>
      <c r="O14" s="58">
        <f t="shared" si="0"/>
        <v>-1.966112856372833</v>
      </c>
      <c r="T14" s="11"/>
      <c r="U14" s="77">
        <f>$B$36</f>
        <v>0</v>
      </c>
      <c r="V14" s="78"/>
      <c r="W14" s="79">
        <v>0</v>
      </c>
      <c r="X14" s="80">
        <f t="shared" ref="X14:X40" si="2">V14/$B$38/$B$9</f>
        <v>0</v>
      </c>
    </row>
    <row r="15" spans="1:24" ht="15" customHeight="1" x14ac:dyDescent="0.25">
      <c r="A15" s="140" t="s">
        <v>72</v>
      </c>
      <c r="B15" s="140"/>
      <c r="C15" s="140"/>
      <c r="D15" s="4"/>
      <c r="M15" s="56">
        <v>36838</v>
      </c>
      <c r="N15" s="57">
        <v>0.02</v>
      </c>
      <c r="O15" s="58">
        <f t="shared" si="0"/>
        <v>-1.966112856372833</v>
      </c>
      <c r="T15" s="69">
        <v>1</v>
      </c>
      <c r="U15" s="77">
        <f t="shared" ref="U15:U39" si="3">$B$36+T15*$B$38</f>
        <v>5.0400000000000002E-3</v>
      </c>
      <c r="V15" s="84">
        <f>FREQUENCY($N$3:$N$252,$U$15:$U$39)</f>
        <v>0</v>
      </c>
      <c r="W15" s="79">
        <f t="shared" ref="W15:W39" si="4">(U15+U14)/2</f>
        <v>2.5200000000000001E-3</v>
      </c>
      <c r="X15" s="80">
        <f t="shared" si="2"/>
        <v>0</v>
      </c>
    </row>
    <row r="16" spans="1:24" ht="15" customHeight="1" x14ac:dyDescent="0.2">
      <c r="A16" s="101" t="s">
        <v>73</v>
      </c>
      <c r="B16" s="63">
        <f>AVERAGE($N$3:$N$252)</f>
        <v>2.9123287671232876E-2</v>
      </c>
      <c r="C16" s="60"/>
      <c r="M16" s="56">
        <v>36907</v>
      </c>
      <c r="N16" s="57">
        <v>0.05</v>
      </c>
      <c r="O16" s="58">
        <f t="shared" si="0"/>
        <v>-1.7719568419318754</v>
      </c>
      <c r="T16" s="69">
        <v>2</v>
      </c>
      <c r="U16" s="77">
        <f t="shared" si="3"/>
        <v>1.008E-2</v>
      </c>
      <c r="V16" s="84">
        <f t="array" ref="V16:V40">FREQUENCY($N$3:$N$252,$U$15:$U$39)</f>
        <v>0</v>
      </c>
      <c r="W16" s="79">
        <f t="shared" si="4"/>
        <v>7.5600000000000007E-3</v>
      </c>
      <c r="X16" s="80">
        <f t="shared" si="2"/>
        <v>0</v>
      </c>
    </row>
    <row r="17" spans="1:24" ht="15" customHeight="1" x14ac:dyDescent="0.2">
      <c r="A17" s="102" t="s">
        <v>75</v>
      </c>
      <c r="B17" s="62">
        <f>STDEV($N$3:$N$252)</f>
        <v>1.4824852636966156E-2</v>
      </c>
      <c r="C17" s="60"/>
      <c r="D17" s="4"/>
      <c r="M17" s="56">
        <v>37006</v>
      </c>
      <c r="N17" s="57">
        <v>0.02</v>
      </c>
      <c r="O17" s="58">
        <f t="shared" si="0"/>
        <v>-1.966112856372833</v>
      </c>
      <c r="T17" s="69">
        <v>3</v>
      </c>
      <c r="U17" s="77">
        <f t="shared" si="3"/>
        <v>1.5120000000000001E-2</v>
      </c>
      <c r="V17" s="84">
        <v>4</v>
      </c>
      <c r="W17" s="79">
        <f t="shared" si="4"/>
        <v>1.26E-2</v>
      </c>
      <c r="X17" s="80">
        <f t="shared" si="2"/>
        <v>10.871928680147859</v>
      </c>
    </row>
    <row r="18" spans="1:24" ht="15" customHeight="1" x14ac:dyDescent="0.2">
      <c r="A18" s="102" t="s">
        <v>92</v>
      </c>
      <c r="B18" s="24">
        <f>((NORMINV(0.83,B16,B17)-B12)-(B12-NORMINV(0.17,B16,B17)))/(NORMINV(0.83,B16,B17)-NORMINV(0.17,B16,B17))</f>
        <v>-6.1978795453835223E-2</v>
      </c>
      <c r="C18" s="114" t="s">
        <v>45</v>
      </c>
      <c r="D18" s="4"/>
      <c r="J18" s="6"/>
      <c r="M18" s="56">
        <v>37097</v>
      </c>
      <c r="N18" s="57">
        <v>0.02</v>
      </c>
      <c r="O18" s="58">
        <f t="shared" si="0"/>
        <v>-1.966112856372833</v>
      </c>
      <c r="T18" s="69">
        <v>4</v>
      </c>
      <c r="U18" s="77">
        <f t="shared" si="3"/>
        <v>2.0160000000000001E-2</v>
      </c>
      <c r="V18" s="84">
        <v>0</v>
      </c>
      <c r="W18" s="79">
        <f t="shared" si="4"/>
        <v>1.7640000000000003E-2</v>
      </c>
      <c r="X18" s="80">
        <f t="shared" si="2"/>
        <v>0</v>
      </c>
    </row>
    <row r="19" spans="1:24" ht="15" customHeight="1" x14ac:dyDescent="0.25">
      <c r="A19" s="102" t="s">
        <v>25</v>
      </c>
      <c r="B19" s="20" t="str">
        <f>IF(ABS(($B$16-$B$12)/$B$16)&lt;=0.1,"gut",IF(ABS(($B$16-$B$12)/$B$16)&lt;=0.2,"mäßig","schlecht"))</f>
        <v>gut</v>
      </c>
      <c r="C19" s="64"/>
      <c r="D19" s="4"/>
      <c r="M19" s="56">
        <v>37172</v>
      </c>
      <c r="N19" s="57">
        <v>0.02</v>
      </c>
      <c r="O19" s="58">
        <f t="shared" si="0"/>
        <v>-1.966112856372833</v>
      </c>
      <c r="T19" s="69">
        <v>5</v>
      </c>
      <c r="U19" s="77">
        <f t="shared" si="3"/>
        <v>2.52E-2</v>
      </c>
      <c r="V19" s="84">
        <v>25</v>
      </c>
      <c r="W19" s="79">
        <f t="shared" si="4"/>
        <v>2.2679999999999999E-2</v>
      </c>
      <c r="X19" s="80">
        <f t="shared" si="2"/>
        <v>67.949554250924109</v>
      </c>
    </row>
    <row r="20" spans="1:24" ht="15" customHeight="1" x14ac:dyDescent="0.2">
      <c r="A20" s="102" t="s">
        <v>44</v>
      </c>
      <c r="B20" s="20" t="str">
        <f>IF(((B11-B10)/B17)&gt;INDEX(XX!$B$4:'XX'!$B$150,$B$9-3),"ja","nein")</f>
        <v>ja</v>
      </c>
      <c r="C20" s="50"/>
      <c r="D20" s="4"/>
      <c r="J20" s="6"/>
      <c r="M20" s="56">
        <v>37264</v>
      </c>
      <c r="N20" s="57">
        <v>0.02</v>
      </c>
      <c r="O20" s="58">
        <f t="shared" si="0"/>
        <v>-1.966112856372833</v>
      </c>
      <c r="T20" s="69">
        <v>6</v>
      </c>
      <c r="U20" s="77">
        <f t="shared" si="3"/>
        <v>3.0240000000000003E-2</v>
      </c>
      <c r="V20" s="84">
        <v>0</v>
      </c>
      <c r="W20" s="79">
        <f t="shared" si="4"/>
        <v>2.7720000000000002E-2</v>
      </c>
      <c r="X20" s="80">
        <f t="shared" si="2"/>
        <v>0</v>
      </c>
    </row>
    <row r="21" spans="1:24" ht="15" customHeight="1" x14ac:dyDescent="0.2">
      <c r="A21" s="103" t="s">
        <v>76</v>
      </c>
      <c r="B21" s="62">
        <f>NORMINV(0.975,$B$16,$B$17)</f>
        <v>5.8179464915800186E-2</v>
      </c>
      <c r="C21" s="62">
        <f>NORMINV(0.025,$B$16,$B$17)</f>
        <v>6.7110426665562689E-5</v>
      </c>
      <c r="D21" s="4"/>
      <c r="M21" s="56">
        <v>37354</v>
      </c>
      <c r="N21" s="57">
        <v>0.02</v>
      </c>
      <c r="O21" s="58">
        <f t="shared" si="0"/>
        <v>-1.966112856372833</v>
      </c>
      <c r="T21" s="69">
        <v>7</v>
      </c>
      <c r="U21" s="77">
        <f t="shared" si="3"/>
        <v>3.5279999999999999E-2</v>
      </c>
      <c r="V21" s="84">
        <v>32</v>
      </c>
      <c r="W21" s="79">
        <f t="shared" si="4"/>
        <v>3.2759999999999997E-2</v>
      </c>
      <c r="X21" s="80">
        <f t="shared" si="2"/>
        <v>86.975429441182868</v>
      </c>
    </row>
    <row r="22" spans="1:24" ht="15" customHeight="1" x14ac:dyDescent="0.2">
      <c r="A22" s="104" t="s">
        <v>77</v>
      </c>
      <c r="B22" s="62">
        <f>NORMINV(0.99,$B$16,$B$17)</f>
        <v>6.3611052086207848E-2</v>
      </c>
      <c r="C22" s="62">
        <f>NORMINV(0.01,B16,B17)</f>
        <v>-5.3644767437420922E-3</v>
      </c>
      <c r="M22" s="56">
        <v>37467</v>
      </c>
      <c r="N22" s="57">
        <v>0.02</v>
      </c>
      <c r="O22" s="58">
        <f t="shared" si="0"/>
        <v>-1.966112856372833</v>
      </c>
      <c r="T22" s="69">
        <v>8</v>
      </c>
      <c r="U22" s="77">
        <f t="shared" si="3"/>
        <v>4.0320000000000002E-2</v>
      </c>
      <c r="V22" s="84">
        <v>1</v>
      </c>
      <c r="W22" s="79">
        <f t="shared" si="4"/>
        <v>3.78E-2</v>
      </c>
      <c r="X22" s="80">
        <f t="shared" si="2"/>
        <v>2.7179821700369646</v>
      </c>
    </row>
    <row r="23" spans="1:24" ht="15" customHeight="1" x14ac:dyDescent="0.25">
      <c r="A23" s="112" t="s">
        <v>81</v>
      </c>
      <c r="B23" s="96">
        <f>MAX($B$22+0.5*$B$6,$B$6)</f>
        <v>0.5</v>
      </c>
      <c r="E23" s="144" t="s">
        <v>80</v>
      </c>
      <c r="F23" s="144"/>
      <c r="G23" s="144"/>
      <c r="M23" s="56">
        <v>37573</v>
      </c>
      <c r="N23" s="57">
        <v>0.02</v>
      </c>
      <c r="O23" s="58">
        <f t="shared" si="0"/>
        <v>-1.966112856372833</v>
      </c>
      <c r="T23" s="69">
        <v>9</v>
      </c>
      <c r="U23" s="77">
        <f t="shared" si="3"/>
        <v>4.5360000000000004E-2</v>
      </c>
      <c r="V23" s="84">
        <v>3</v>
      </c>
      <c r="W23" s="79">
        <f t="shared" si="4"/>
        <v>4.2840000000000003E-2</v>
      </c>
      <c r="X23" s="80">
        <f t="shared" si="2"/>
        <v>8.1539465101108934</v>
      </c>
    </row>
    <row r="24" spans="1:24" ht="15" customHeight="1" x14ac:dyDescent="0.2">
      <c r="M24" s="56">
        <v>37649</v>
      </c>
      <c r="N24" s="57">
        <v>0.02</v>
      </c>
      <c r="O24" s="58">
        <f t="shared" si="0"/>
        <v>-1.966112856372833</v>
      </c>
      <c r="T24" s="69">
        <v>10</v>
      </c>
      <c r="U24" s="77">
        <f t="shared" si="3"/>
        <v>5.04E-2</v>
      </c>
      <c r="V24" s="84">
        <v>2</v>
      </c>
      <c r="W24" s="79">
        <f t="shared" si="4"/>
        <v>4.7880000000000006E-2</v>
      </c>
      <c r="X24" s="80">
        <f t="shared" si="2"/>
        <v>5.4359643400739293</v>
      </c>
    </row>
    <row r="25" spans="1:24" ht="15" customHeight="1" x14ac:dyDescent="0.25">
      <c r="A25" s="140" t="s">
        <v>74</v>
      </c>
      <c r="B25" s="140"/>
      <c r="C25" s="140"/>
      <c r="F25" s="7" t="e">
        <f>MEDIAN(C50:C199)</f>
        <v>#NUM!</v>
      </c>
      <c r="M25" s="56">
        <v>37750</v>
      </c>
      <c r="N25" s="57">
        <v>0.02</v>
      </c>
      <c r="O25" s="58">
        <f t="shared" si="0"/>
        <v>-1.966112856372833</v>
      </c>
      <c r="Q25" s="75" t="s">
        <v>68</v>
      </c>
      <c r="R25" s="75">
        <f>MEDIAN($O$3:$O$252)</f>
        <v>-1.8971199848858813</v>
      </c>
      <c r="T25" s="69">
        <v>11</v>
      </c>
      <c r="U25" s="77">
        <f t="shared" si="3"/>
        <v>5.5440000000000003E-2</v>
      </c>
      <c r="V25" s="84">
        <v>2</v>
      </c>
      <c r="W25" s="79">
        <f t="shared" si="4"/>
        <v>5.2920000000000002E-2</v>
      </c>
      <c r="X25" s="80">
        <f t="shared" si="2"/>
        <v>5.4359643400739293</v>
      </c>
    </row>
    <row r="26" spans="1:24" ht="15" customHeight="1" x14ac:dyDescent="0.2">
      <c r="A26" s="86" t="s">
        <v>36</v>
      </c>
      <c r="B26" s="134">
        <v>0.12</v>
      </c>
      <c r="C26" s="62"/>
      <c r="E26" s="7" t="e">
        <f>AVERAGE(C50:C199)</f>
        <v>#DIV/0!</v>
      </c>
      <c r="M26" s="56">
        <v>37845</v>
      </c>
      <c r="N26" s="57">
        <v>0.02</v>
      </c>
      <c r="O26" s="58">
        <f t="shared" si="0"/>
        <v>-1.966112856372833</v>
      </c>
      <c r="Q26" s="75" t="s">
        <v>73</v>
      </c>
      <c r="R26" s="75">
        <f>AVERAGE($O$3:$O$252)</f>
        <v>-1.9070925208972964</v>
      </c>
      <c r="T26" s="69">
        <v>12</v>
      </c>
      <c r="U26" s="77">
        <f t="shared" si="3"/>
        <v>6.0480000000000006E-2</v>
      </c>
      <c r="V26" s="84">
        <v>1</v>
      </c>
      <c r="W26" s="79">
        <f t="shared" si="4"/>
        <v>5.7960000000000005E-2</v>
      </c>
      <c r="X26" s="80">
        <f t="shared" si="2"/>
        <v>2.7179821700369646</v>
      </c>
    </row>
    <row r="27" spans="1:24" ht="15" customHeight="1" x14ac:dyDescent="0.2">
      <c r="A27" s="65" t="s">
        <v>17</v>
      </c>
      <c r="B27" s="62">
        <f>EXP($R$26)</f>
        <v>0.14851155372598301</v>
      </c>
      <c r="C27" s="62"/>
      <c r="E27" s="7" t="e">
        <f>STDEV(C50:C199)</f>
        <v>#DIV/0!</v>
      </c>
      <c r="F27" s="7" t="e">
        <f>NORMINV(0.025,$E26,$E27)</f>
        <v>#DIV/0!</v>
      </c>
      <c r="M27" s="56">
        <v>37930</v>
      </c>
      <c r="N27" s="57">
        <v>0.02</v>
      </c>
      <c r="O27" s="58">
        <f t="shared" si="0"/>
        <v>-1.966112856372833</v>
      </c>
      <c r="Q27" s="75" t="s">
        <v>104</v>
      </c>
      <c r="R27" s="75">
        <f>STDEV($O$3:$O$252)</f>
        <v>8.7851143303932858E-2</v>
      </c>
      <c r="T27" s="69">
        <v>13</v>
      </c>
      <c r="U27" s="77">
        <f t="shared" si="3"/>
        <v>6.5520000000000009E-2</v>
      </c>
      <c r="V27" s="84">
        <v>2</v>
      </c>
      <c r="W27" s="79">
        <f t="shared" si="4"/>
        <v>6.3E-2</v>
      </c>
      <c r="X27" s="80">
        <f t="shared" si="2"/>
        <v>5.4359643400739293</v>
      </c>
    </row>
    <row r="28" spans="1:24" ht="15" customHeight="1" x14ac:dyDescent="0.2">
      <c r="A28" s="65" t="s">
        <v>92</v>
      </c>
      <c r="B28" s="24">
        <f>((NORMINV(0.83,$R$26,$R$27)-$R25)-($R$25-NORMINV(0.17,$R$26,$R$27)))/(NORMINV(0.83,$R$26,$R$27)-NORMINV(0.17,$R$26,$R$27))</f>
        <v>-0.11896921560271292</v>
      </c>
      <c r="C28" s="115" t="s">
        <v>45</v>
      </c>
      <c r="F28" s="7" t="e">
        <f>NORMINV(0.01,$E$26,$E$27)</f>
        <v>#DIV/0!</v>
      </c>
      <c r="M28" s="56">
        <v>38034</v>
      </c>
      <c r="N28" s="57">
        <v>0.02</v>
      </c>
      <c r="O28" s="58">
        <f t="shared" si="0"/>
        <v>-1.966112856372833</v>
      </c>
      <c r="Q28" s="75" t="s">
        <v>108</v>
      </c>
      <c r="R28" s="75">
        <f>NORMINV(0.025,$R$26,$R$27)</f>
        <v>-2.0792775977736717</v>
      </c>
      <c r="T28" s="69">
        <v>14</v>
      </c>
      <c r="U28" s="77">
        <f t="shared" si="3"/>
        <v>7.0559999999999998E-2</v>
      </c>
      <c r="V28" s="84">
        <v>0</v>
      </c>
      <c r="W28" s="79">
        <f t="shared" si="4"/>
        <v>6.8040000000000003E-2</v>
      </c>
      <c r="X28" s="80">
        <f t="shared" si="2"/>
        <v>0</v>
      </c>
    </row>
    <row r="29" spans="1:24" ht="15" customHeight="1" x14ac:dyDescent="0.2">
      <c r="A29" s="65" t="s">
        <v>25</v>
      </c>
      <c r="B29" s="62" t="str">
        <f>IF(ABS(($R26-$R$25)/$R$26)&lt;=0.1,"gut",IF(ABS(($R$26-$R$25)/$R$26)&lt;=0.2,"mäßig","schlecht"))</f>
        <v>gut</v>
      </c>
      <c r="C29" s="62"/>
      <c r="M29" s="56">
        <v>38183</v>
      </c>
      <c r="N29" s="57">
        <v>0.02</v>
      </c>
      <c r="O29" s="58">
        <f t="shared" si="0"/>
        <v>-1.966112856372833</v>
      </c>
      <c r="Q29" s="75" t="s">
        <v>107</v>
      </c>
      <c r="R29" s="75">
        <f>NORMINV(0.01,$R$26,$R$27)</f>
        <v>-2.1114648413544579</v>
      </c>
      <c r="T29" s="69">
        <v>15</v>
      </c>
      <c r="U29" s="77">
        <f t="shared" si="3"/>
        <v>7.5600000000000001E-2</v>
      </c>
      <c r="V29" s="84">
        <v>0</v>
      </c>
      <c r="W29" s="79">
        <f t="shared" si="4"/>
        <v>7.3080000000000006E-2</v>
      </c>
      <c r="X29" s="80">
        <f t="shared" si="2"/>
        <v>0</v>
      </c>
    </row>
    <row r="30" spans="1:24" ht="15" customHeight="1" x14ac:dyDescent="0.2">
      <c r="A30" s="65" t="s">
        <v>44</v>
      </c>
      <c r="B30" s="62" t="str">
        <f>IF(((MAX($N$3:$N$252)-MIN($O$3:$O$252))/$R$27)&gt;INDEX(XX!$B$4:$B$150,$B$9-3),"ja","nein")</f>
        <v>ja</v>
      </c>
      <c r="C30" s="62"/>
      <c r="E30" s="7" t="e">
        <f>NORMINV(0.95,$E26,$E27)</f>
        <v>#DIV/0!</v>
      </c>
      <c r="M30" s="56">
        <v>38281</v>
      </c>
      <c r="N30" s="57">
        <v>0.02</v>
      </c>
      <c r="O30" s="58">
        <f t="shared" si="0"/>
        <v>-1.966112856372833</v>
      </c>
      <c r="Q30" s="75" t="s">
        <v>105</v>
      </c>
      <c r="R30" s="75">
        <f>NORMINV(0.95,$R$26,$R$27)</f>
        <v>-1.7625902492019889</v>
      </c>
      <c r="T30" s="69">
        <v>16</v>
      </c>
      <c r="U30" s="77">
        <f t="shared" si="3"/>
        <v>8.0640000000000003E-2</v>
      </c>
      <c r="V30" s="84">
        <v>0</v>
      </c>
      <c r="W30" s="79">
        <f t="shared" si="4"/>
        <v>7.8119999999999995E-2</v>
      </c>
      <c r="X30" s="80">
        <f t="shared" si="2"/>
        <v>0</v>
      </c>
    </row>
    <row r="31" spans="1:24" ht="15" customHeight="1" x14ac:dyDescent="0.2">
      <c r="A31" s="65" t="s">
        <v>98</v>
      </c>
      <c r="B31" s="62">
        <f>EXP($R30)-$B$26</f>
        <v>5.1599801411945617E-2</v>
      </c>
      <c r="C31" s="62">
        <f>NORMINV(0.025,$R$26,$R$27)</f>
        <v>-2.0792775977736717</v>
      </c>
      <c r="E31" s="7" t="e">
        <f>NORMINV(0.98,$E$26,$E$27)</f>
        <v>#DIV/0!</v>
      </c>
      <c r="M31" s="56">
        <v>38344</v>
      </c>
      <c r="N31" s="57">
        <v>0.02</v>
      </c>
      <c r="O31" s="58">
        <f t="shared" si="0"/>
        <v>-1.966112856372833</v>
      </c>
      <c r="Q31" s="75" t="s">
        <v>106</v>
      </c>
      <c r="R31" s="75">
        <f>NORMINV(0.98,$R$26,$R$27)</f>
        <v>-1.7266683310390842</v>
      </c>
      <c r="T31" s="69">
        <v>17</v>
      </c>
      <c r="U31" s="77">
        <f t="shared" si="3"/>
        <v>8.5680000000000006E-2</v>
      </c>
      <c r="V31" s="84">
        <v>0</v>
      </c>
      <c r="W31" s="79">
        <f t="shared" si="4"/>
        <v>8.3160000000000012E-2</v>
      </c>
      <c r="X31" s="80">
        <f t="shared" si="2"/>
        <v>0</v>
      </c>
    </row>
    <row r="32" spans="1:24" ht="15" customHeight="1" x14ac:dyDescent="0.2">
      <c r="A32" s="65" t="s">
        <v>86</v>
      </c>
      <c r="B32" s="62">
        <f>EXP($R$31)-$B$26</f>
        <v>5.7876047959525889E-2</v>
      </c>
      <c r="C32" s="62">
        <f>NORMINV(0.01,$R$26,$R$27)</f>
        <v>-2.1114648413544579</v>
      </c>
      <c r="M32" s="56">
        <v>38391</v>
      </c>
      <c r="N32" s="57">
        <v>0.02</v>
      </c>
      <c r="O32" s="58">
        <f t="shared" si="0"/>
        <v>-1.966112856372833</v>
      </c>
      <c r="T32" s="69">
        <v>18</v>
      </c>
      <c r="U32" s="77">
        <f t="shared" si="3"/>
        <v>9.0720000000000009E-2</v>
      </c>
      <c r="V32" s="84">
        <v>0</v>
      </c>
      <c r="W32" s="79">
        <f t="shared" si="4"/>
        <v>8.8200000000000001E-2</v>
      </c>
      <c r="X32" s="80">
        <f t="shared" si="2"/>
        <v>0</v>
      </c>
    </row>
    <row r="33" spans="1:24" ht="15" customHeight="1" x14ac:dyDescent="0.25">
      <c r="A33" s="112" t="s">
        <v>81</v>
      </c>
      <c r="B33" s="113">
        <f>MAX($B$32+0.5*$B$6,B6)</f>
        <v>0.5</v>
      </c>
      <c r="M33" s="56">
        <v>38460</v>
      </c>
      <c r="N33" s="57">
        <v>0.02</v>
      </c>
      <c r="O33" s="58">
        <f t="shared" si="0"/>
        <v>-1.966112856372833</v>
      </c>
      <c r="T33" s="69">
        <v>19</v>
      </c>
      <c r="U33" s="77">
        <f t="shared" si="3"/>
        <v>9.5759999999999998E-2</v>
      </c>
      <c r="V33" s="84">
        <v>0</v>
      </c>
      <c r="W33" s="79">
        <f t="shared" si="4"/>
        <v>9.3240000000000003E-2</v>
      </c>
      <c r="X33" s="80">
        <f t="shared" si="2"/>
        <v>0</v>
      </c>
    </row>
    <row r="34" spans="1:24" ht="15" customHeight="1" x14ac:dyDescent="0.2">
      <c r="M34" s="56">
        <v>38553</v>
      </c>
      <c r="N34" s="57">
        <v>0.02</v>
      </c>
      <c r="O34" s="58">
        <f t="shared" si="0"/>
        <v>-1.966112856372833</v>
      </c>
      <c r="T34" s="69">
        <v>20</v>
      </c>
      <c r="U34" s="77">
        <f t="shared" si="3"/>
        <v>0.1008</v>
      </c>
      <c r="V34" s="84">
        <v>0</v>
      </c>
      <c r="W34" s="79">
        <f t="shared" si="4"/>
        <v>9.8280000000000006E-2</v>
      </c>
      <c r="X34" s="80">
        <f t="shared" si="2"/>
        <v>0</v>
      </c>
    </row>
    <row r="35" spans="1:24" ht="15" customHeight="1" x14ac:dyDescent="0.25">
      <c r="A35" s="140" t="s">
        <v>78</v>
      </c>
      <c r="B35" s="140"/>
      <c r="C35" s="140"/>
      <c r="M35" s="56">
        <v>38701</v>
      </c>
      <c r="N35" s="57">
        <v>0.02</v>
      </c>
      <c r="O35" s="58">
        <f t="shared" si="0"/>
        <v>-1.966112856372833</v>
      </c>
      <c r="T35" s="69">
        <v>21</v>
      </c>
      <c r="U35" s="77">
        <f t="shared" si="3"/>
        <v>0.10584</v>
      </c>
      <c r="V35" s="84">
        <v>0</v>
      </c>
      <c r="W35" s="79">
        <f t="shared" si="4"/>
        <v>0.10332</v>
      </c>
      <c r="X35" s="80">
        <f t="shared" si="2"/>
        <v>0</v>
      </c>
    </row>
    <row r="36" spans="1:24" ht="15" x14ac:dyDescent="0.2">
      <c r="A36" s="101" t="s">
        <v>7</v>
      </c>
      <c r="B36" s="52">
        <v>0</v>
      </c>
      <c r="M36" s="56">
        <v>39079</v>
      </c>
      <c r="N36" s="57">
        <v>0.02</v>
      </c>
      <c r="O36" s="58">
        <f t="shared" si="0"/>
        <v>-1.966112856372833</v>
      </c>
      <c r="T36" s="69">
        <v>22</v>
      </c>
      <c r="U36" s="77">
        <f t="shared" si="3"/>
        <v>0.11088000000000001</v>
      </c>
      <c r="V36" s="84">
        <v>0</v>
      </c>
      <c r="W36" s="79">
        <f t="shared" si="4"/>
        <v>0.10836000000000001</v>
      </c>
      <c r="X36" s="80">
        <f t="shared" si="2"/>
        <v>0</v>
      </c>
    </row>
    <row r="37" spans="1:24" ht="15.75" x14ac:dyDescent="0.25">
      <c r="A37" s="103" t="s">
        <v>8</v>
      </c>
      <c r="B37" s="52">
        <f>1.05*B11</f>
        <v>0.126</v>
      </c>
      <c r="D37" s="8"/>
      <c r="E37" s="8"/>
      <c r="M37" s="56">
        <v>39127</v>
      </c>
      <c r="N37" s="57">
        <v>0.03</v>
      </c>
      <c r="O37" s="58">
        <f t="shared" si="0"/>
        <v>-1.8971199848858813</v>
      </c>
      <c r="T37" s="69">
        <v>23</v>
      </c>
      <c r="U37" s="77">
        <f t="shared" si="3"/>
        <v>0.11592000000000001</v>
      </c>
      <c r="V37" s="84">
        <v>0</v>
      </c>
      <c r="W37" s="79">
        <f t="shared" si="4"/>
        <v>0.1134</v>
      </c>
      <c r="X37" s="80">
        <f t="shared" si="2"/>
        <v>0</v>
      </c>
    </row>
    <row r="38" spans="1:24" ht="15" x14ac:dyDescent="0.2">
      <c r="A38" s="104" t="s">
        <v>19</v>
      </c>
      <c r="B38" s="53">
        <f>($B$37-$B$36)/25</f>
        <v>5.0400000000000002E-3</v>
      </c>
      <c r="M38" s="56">
        <v>39226</v>
      </c>
      <c r="N38" s="57">
        <v>0.03</v>
      </c>
      <c r="O38" s="58">
        <f t="shared" si="0"/>
        <v>-1.8971199848858813</v>
      </c>
      <c r="T38" s="69">
        <v>24</v>
      </c>
      <c r="U38" s="77">
        <f t="shared" si="3"/>
        <v>0.12096000000000001</v>
      </c>
      <c r="V38" s="84">
        <v>0</v>
      </c>
      <c r="W38" s="79">
        <f t="shared" si="4"/>
        <v>0.11844000000000002</v>
      </c>
      <c r="X38" s="80">
        <f t="shared" si="2"/>
        <v>0</v>
      </c>
    </row>
    <row r="39" spans="1:24" ht="15" x14ac:dyDescent="0.2">
      <c r="M39" s="56">
        <v>39308</v>
      </c>
      <c r="N39" s="57">
        <v>0.03</v>
      </c>
      <c r="O39" s="58">
        <f t="shared" si="0"/>
        <v>-1.8971199848858813</v>
      </c>
      <c r="T39" s="69">
        <v>25</v>
      </c>
      <c r="U39" s="77">
        <f t="shared" si="3"/>
        <v>0.126</v>
      </c>
      <c r="V39" s="84">
        <v>1</v>
      </c>
      <c r="W39" s="79">
        <f t="shared" si="4"/>
        <v>0.12348000000000001</v>
      </c>
      <c r="X39" s="80">
        <f t="shared" si="2"/>
        <v>2.7179821700369646</v>
      </c>
    </row>
    <row r="40" spans="1:24" ht="15" x14ac:dyDescent="0.2">
      <c r="M40" s="56">
        <v>39408</v>
      </c>
      <c r="N40" s="57">
        <v>0.03</v>
      </c>
      <c r="O40" s="58">
        <f t="shared" si="0"/>
        <v>-1.8971199848858813</v>
      </c>
      <c r="T40" s="11"/>
      <c r="U40" s="77" t="s">
        <v>21</v>
      </c>
      <c r="V40" s="84">
        <v>0</v>
      </c>
      <c r="W40" s="79"/>
      <c r="X40" s="80">
        <f t="shared" si="2"/>
        <v>0</v>
      </c>
    </row>
    <row r="41" spans="1:24" ht="15" x14ac:dyDescent="0.2">
      <c r="M41" s="56">
        <v>39505</v>
      </c>
      <c r="N41" s="57">
        <v>0.03</v>
      </c>
      <c r="O41" s="58">
        <f t="shared" si="0"/>
        <v>-1.8971199848858813</v>
      </c>
    </row>
    <row r="42" spans="1:24" ht="15" x14ac:dyDescent="0.2">
      <c r="M42" s="56">
        <v>39596</v>
      </c>
      <c r="N42" s="57">
        <v>0.03</v>
      </c>
      <c r="O42" s="58">
        <f t="shared" si="0"/>
        <v>-1.8971199848858813</v>
      </c>
    </row>
    <row r="43" spans="1:24" ht="15" x14ac:dyDescent="0.2">
      <c r="M43" s="56">
        <v>39674</v>
      </c>
      <c r="N43" s="57">
        <v>0.03</v>
      </c>
      <c r="O43" s="58">
        <f t="shared" si="0"/>
        <v>-1.8971199848858813</v>
      </c>
    </row>
    <row r="44" spans="1:24" ht="15" x14ac:dyDescent="0.2">
      <c r="M44" s="56">
        <v>39758</v>
      </c>
      <c r="N44" s="57">
        <v>0.03</v>
      </c>
      <c r="O44" s="58">
        <f t="shared" si="0"/>
        <v>-1.8971199848858813</v>
      </c>
      <c r="T44" s="83" t="s">
        <v>13</v>
      </c>
    </row>
    <row r="45" spans="1:24" ht="15" x14ac:dyDescent="0.2">
      <c r="M45" s="56">
        <v>39856</v>
      </c>
      <c r="N45" s="57">
        <v>5.3999999999999999E-2</v>
      </c>
      <c r="O45" s="58">
        <f t="shared" si="0"/>
        <v>-1.7486999797676082</v>
      </c>
      <c r="T45" s="69" t="s">
        <v>26</v>
      </c>
      <c r="U45" s="69" t="s">
        <v>27</v>
      </c>
    </row>
    <row r="46" spans="1:24" ht="15" x14ac:dyDescent="0.2">
      <c r="B46" s="6"/>
      <c r="M46" s="56">
        <v>39960</v>
      </c>
      <c r="N46" s="57">
        <v>5.8999999999999997E-2</v>
      </c>
      <c r="O46" s="58">
        <f t="shared" si="0"/>
        <v>-1.7203694731413821</v>
      </c>
      <c r="T46" s="85">
        <f>$U$14-$B$38/100</f>
        <v>-5.0400000000000005E-5</v>
      </c>
      <c r="U46" s="28">
        <v>0</v>
      </c>
    </row>
    <row r="47" spans="1:24" ht="15" x14ac:dyDescent="0.2">
      <c r="B47" s="9"/>
      <c r="C47" s="9"/>
      <c r="D47" s="9"/>
      <c r="E47" s="9"/>
      <c r="M47" s="56">
        <v>40052</v>
      </c>
      <c r="N47" s="57">
        <v>0.03</v>
      </c>
      <c r="O47" s="58">
        <f t="shared" si="0"/>
        <v>-1.8971199848858813</v>
      </c>
      <c r="T47" s="85">
        <f>$U$14+$B$38/100</f>
        <v>5.0400000000000005E-5</v>
      </c>
      <c r="U47" s="28">
        <f>$X$15</f>
        <v>0</v>
      </c>
    </row>
    <row r="48" spans="1:24" ht="16.149999999999999" customHeight="1" x14ac:dyDescent="0.2">
      <c r="D48" s="9"/>
      <c r="E48" s="9"/>
      <c r="K48" s="11"/>
      <c r="L48" s="12"/>
      <c r="M48" s="56">
        <v>40122</v>
      </c>
      <c r="N48" s="57">
        <v>3.6999999999999998E-2</v>
      </c>
      <c r="O48" s="58">
        <f t="shared" si="0"/>
        <v>-1.8515094736338289</v>
      </c>
      <c r="T48" s="85">
        <f>$U$15-$B$38/100</f>
        <v>4.9896000000000003E-3</v>
      </c>
      <c r="U48" s="28">
        <f>$X$15</f>
        <v>0</v>
      </c>
    </row>
    <row r="49" spans="5:21" ht="15" x14ac:dyDescent="0.2">
      <c r="E49" s="13"/>
      <c r="M49" s="56">
        <v>40234</v>
      </c>
      <c r="N49" s="57">
        <v>0.03</v>
      </c>
      <c r="O49" s="58">
        <f t="shared" si="0"/>
        <v>-1.8971199848858813</v>
      </c>
      <c r="T49" s="85">
        <f>$U$15+$B$38/100</f>
        <v>5.0904000000000001E-3</v>
      </c>
      <c r="U49" s="28">
        <f>$X$16</f>
        <v>0</v>
      </c>
    </row>
    <row r="50" spans="5:21" ht="15" x14ac:dyDescent="0.2">
      <c r="E50" s="39"/>
      <c r="M50" s="56">
        <v>40326</v>
      </c>
      <c r="N50" s="57">
        <v>0.12</v>
      </c>
      <c r="O50" s="58">
        <f t="shared" si="0"/>
        <v>-1.4271163556401458</v>
      </c>
      <c r="T50" s="85">
        <f>$U$16-$B$38/100</f>
        <v>1.00296E-2</v>
      </c>
      <c r="U50" s="28">
        <f>$X$16</f>
        <v>0</v>
      </c>
    </row>
    <row r="51" spans="5:21" ht="15" x14ac:dyDescent="0.2">
      <c r="E51" s="15"/>
      <c r="M51" s="56">
        <v>40403</v>
      </c>
      <c r="N51" s="57">
        <v>0.03</v>
      </c>
      <c r="O51" s="58">
        <f t="shared" si="0"/>
        <v>-1.8971199848858813</v>
      </c>
      <c r="T51" s="85">
        <f>$U$16+$B$38/100</f>
        <v>1.0130400000000001E-2</v>
      </c>
      <c r="U51" s="28">
        <f>$X$17</f>
        <v>10.871928680147859</v>
      </c>
    </row>
    <row r="52" spans="5:21" ht="15" x14ac:dyDescent="0.2">
      <c r="E52" s="15"/>
      <c r="M52" s="56">
        <v>40507</v>
      </c>
      <c r="N52" s="57">
        <v>0.03</v>
      </c>
      <c r="O52" s="58">
        <f t="shared" si="0"/>
        <v>-1.8971199848858813</v>
      </c>
      <c r="T52" s="85">
        <f>$U$17-$B$38/100</f>
        <v>1.5069600000000001E-2</v>
      </c>
      <c r="U52" s="28">
        <f>$X$17</f>
        <v>10.871928680147859</v>
      </c>
    </row>
    <row r="53" spans="5:21" ht="15" x14ac:dyDescent="0.2">
      <c r="E53" s="15"/>
      <c r="F53" s="15"/>
      <c r="G53" s="15"/>
      <c r="M53" s="56">
        <v>40577</v>
      </c>
      <c r="N53" s="57">
        <v>0.03</v>
      </c>
      <c r="O53" s="58">
        <f t="shared" si="0"/>
        <v>-1.8971199848858813</v>
      </c>
      <c r="T53" s="85">
        <f>$U$17+$B$38/100</f>
        <v>1.5170400000000002E-2</v>
      </c>
      <c r="U53" s="28">
        <f>$X$18</f>
        <v>0</v>
      </c>
    </row>
    <row r="54" spans="5:21" ht="15" x14ac:dyDescent="0.2">
      <c r="E54" s="15"/>
      <c r="F54" s="15"/>
      <c r="G54" s="15"/>
      <c r="M54" s="56">
        <v>40682</v>
      </c>
      <c r="N54" s="57">
        <v>0.03</v>
      </c>
      <c r="O54" s="58">
        <f t="shared" si="0"/>
        <v>-1.8971199848858813</v>
      </c>
      <c r="T54" s="85">
        <f>$U$18-$B$38/100</f>
        <v>2.0109600000000002E-2</v>
      </c>
      <c r="U54" s="28">
        <f>$X$18</f>
        <v>0</v>
      </c>
    </row>
    <row r="55" spans="5:21" ht="15.75" x14ac:dyDescent="0.25">
      <c r="E55" s="68" t="s">
        <v>20</v>
      </c>
      <c r="F55" s="68"/>
      <c r="G55" s="68"/>
      <c r="H55" s="68"/>
      <c r="I55" s="68"/>
      <c r="J55" s="68"/>
      <c r="K55" s="68"/>
      <c r="M55" s="56">
        <v>40759</v>
      </c>
      <c r="N55" s="57">
        <v>0.04</v>
      </c>
      <c r="O55" s="58">
        <f t="shared" si="0"/>
        <v>-1.8325814637483102</v>
      </c>
      <c r="T55" s="85">
        <f>$U$18+$B$38/100</f>
        <v>2.02104E-2</v>
      </c>
      <c r="U55" s="28">
        <f>$X$19</f>
        <v>67.949554250924109</v>
      </c>
    </row>
    <row r="56" spans="5:21" ht="15" x14ac:dyDescent="0.2">
      <c r="E56" s="11"/>
      <c r="F56" s="69" t="s">
        <v>94</v>
      </c>
      <c r="G56" s="69" t="s">
        <v>95</v>
      </c>
      <c r="H56" s="69" t="s">
        <v>96</v>
      </c>
      <c r="I56" s="69" t="s">
        <v>97</v>
      </c>
      <c r="J56" s="69" t="s">
        <v>114</v>
      </c>
      <c r="K56" s="69" t="s">
        <v>115</v>
      </c>
      <c r="M56" s="56">
        <v>40856</v>
      </c>
      <c r="N56" s="57">
        <v>0.03</v>
      </c>
      <c r="O56" s="58">
        <f t="shared" si="0"/>
        <v>-1.8971199848858813</v>
      </c>
      <c r="T56" s="85">
        <f>$U$19-$B$38/100</f>
        <v>2.5149600000000001E-2</v>
      </c>
      <c r="U56" s="28">
        <f>$X$19</f>
        <v>67.949554250924109</v>
      </c>
    </row>
    <row r="57" spans="5:21" ht="15" x14ac:dyDescent="0.2">
      <c r="E57" s="70">
        <v>1</v>
      </c>
      <c r="F57" s="74">
        <f>$B$21</f>
        <v>5.8179464915800186E-2</v>
      </c>
      <c r="G57" s="74">
        <f>$C$21</f>
        <v>6.7110426665562689E-5</v>
      </c>
      <c r="H57" s="74">
        <f>$B$22</f>
        <v>6.3611052086207848E-2</v>
      </c>
      <c r="I57" s="74">
        <f>$C$22</f>
        <v>-5.3644767437420922E-3</v>
      </c>
      <c r="J57" s="74">
        <f>$B$31</f>
        <v>5.1599801411945617E-2</v>
      </c>
      <c r="K57" s="74">
        <f>$B$32</f>
        <v>5.7876047959525889E-2</v>
      </c>
      <c r="M57" s="56">
        <v>40961</v>
      </c>
      <c r="N57" s="57">
        <v>4.2999999999999997E-2</v>
      </c>
      <c r="O57" s="58">
        <f t="shared" si="0"/>
        <v>-1.8140050781753749</v>
      </c>
      <c r="T57" s="85">
        <f>$U$19+$B$38/100</f>
        <v>2.5250399999999999E-2</v>
      </c>
      <c r="U57" s="28">
        <f>$X$20</f>
        <v>0</v>
      </c>
    </row>
    <row r="58" spans="5:21" ht="15" x14ac:dyDescent="0.2">
      <c r="E58" s="70">
        <v>73415</v>
      </c>
      <c r="F58" s="74">
        <f>$B$21</f>
        <v>5.8179464915800186E-2</v>
      </c>
      <c r="G58" s="74">
        <f>$C$21</f>
        <v>6.7110426665562689E-5</v>
      </c>
      <c r="H58" s="74">
        <f>$B$22</f>
        <v>6.3611052086207848E-2</v>
      </c>
      <c r="I58" s="74">
        <f>$C$22</f>
        <v>-5.3644767437420922E-3</v>
      </c>
      <c r="J58" s="74">
        <f>$B$31</f>
        <v>5.1599801411945617E-2</v>
      </c>
      <c r="K58" s="74">
        <f>$B$32</f>
        <v>5.7876047959525889E-2</v>
      </c>
      <c r="M58" s="56">
        <v>41044</v>
      </c>
      <c r="N58" s="57">
        <v>0.03</v>
      </c>
      <c r="O58" s="58">
        <f t="shared" si="0"/>
        <v>-1.8971199848858813</v>
      </c>
      <c r="T58" s="85">
        <f>$U$20-$B$38/100</f>
        <v>3.0189600000000004E-2</v>
      </c>
      <c r="U58" s="28">
        <f>$X$20</f>
        <v>0</v>
      </c>
    </row>
    <row r="59" spans="5:21" ht="15" x14ac:dyDescent="0.2">
      <c r="M59" s="56">
        <v>41123</v>
      </c>
      <c r="N59" s="57">
        <v>0.03</v>
      </c>
      <c r="O59" s="58">
        <f t="shared" si="0"/>
        <v>-1.8971199848858813</v>
      </c>
      <c r="T59" s="85">
        <f>$U$20+$B$38/100</f>
        <v>3.0290400000000002E-2</v>
      </c>
      <c r="U59" s="28">
        <f>$X$21</f>
        <v>86.975429441182868</v>
      </c>
    </row>
    <row r="60" spans="5:21" ht="15" x14ac:dyDescent="0.2">
      <c r="M60" s="56">
        <v>41235</v>
      </c>
      <c r="N60" s="57">
        <v>0.03</v>
      </c>
      <c r="O60" s="58">
        <f t="shared" si="0"/>
        <v>-1.8971199848858813</v>
      </c>
      <c r="T60" s="85">
        <f>$U$21-$B$38/100</f>
        <v>3.52296E-2</v>
      </c>
      <c r="U60" s="28">
        <f>$X$21</f>
        <v>86.975429441182868</v>
      </c>
    </row>
    <row r="61" spans="5:21" ht="15.75" x14ac:dyDescent="0.25">
      <c r="E61" s="68" t="s">
        <v>14</v>
      </c>
      <c r="F61" s="68"/>
      <c r="G61" s="68"/>
      <c r="H61" s="71"/>
      <c r="I61" s="71"/>
      <c r="J61" s="71"/>
      <c r="K61" s="11"/>
      <c r="M61" s="56">
        <v>41326</v>
      </c>
      <c r="N61" s="57">
        <v>0.03</v>
      </c>
      <c r="O61" s="58">
        <f t="shared" si="0"/>
        <v>-1.8971199848858813</v>
      </c>
      <c r="T61" s="85">
        <f>$U$21+$B$38/100</f>
        <v>3.5330399999999998E-2</v>
      </c>
      <c r="U61" s="28">
        <f>$X$22</f>
        <v>2.7179821700369646</v>
      </c>
    </row>
    <row r="62" spans="5:21" ht="15" x14ac:dyDescent="0.2">
      <c r="E62" s="69" t="s">
        <v>2</v>
      </c>
      <c r="F62" s="69" t="s">
        <v>3</v>
      </c>
      <c r="G62" s="69" t="s">
        <v>5</v>
      </c>
      <c r="H62" s="69" t="s">
        <v>4</v>
      </c>
      <c r="I62" s="69" t="s">
        <v>35</v>
      </c>
      <c r="J62" s="69" t="s">
        <v>6</v>
      </c>
      <c r="K62" s="69" t="s">
        <v>15</v>
      </c>
      <c r="M62" s="56">
        <v>41428</v>
      </c>
      <c r="N62" s="57">
        <v>0.03</v>
      </c>
      <c r="O62" s="58">
        <f t="shared" si="0"/>
        <v>-1.8971199848858813</v>
      </c>
      <c r="T62" s="85">
        <f>$U$22-$B$38/100</f>
        <v>4.0269600000000003E-2</v>
      </c>
      <c r="U62" s="28">
        <f>$X$22</f>
        <v>2.7179821700369646</v>
      </c>
    </row>
    <row r="63" spans="5:21" ht="15" x14ac:dyDescent="0.2">
      <c r="E63" s="72">
        <v>-5</v>
      </c>
      <c r="F63" s="73">
        <f>$B$16+$E63*$B$17</f>
        <v>-4.5000975513597913E-2</v>
      </c>
      <c r="G63" s="73">
        <f>NORMDIST($F63,$B$16,$B$17,FALSE)</f>
        <v>1.0028561842342526E-4</v>
      </c>
      <c r="H63" s="73">
        <f>EXP($R$26+$E63*$R$27)</f>
        <v>9.5718064419983581E-2</v>
      </c>
      <c r="I63" s="73">
        <f t="shared" ref="I63:I113" si="5">H63-$B$26</f>
        <v>-2.4281935580016414E-2</v>
      </c>
      <c r="J63" s="73">
        <f>1/$H63/SQRT(2*PI())/$R$27*EXP(-POWER(LN($H63)-$R$26,2)/2/POWER($R$27,2))</f>
        <v>1.7680222099909524E-4</v>
      </c>
      <c r="K63" s="73">
        <f>LOGNORMDIST($H63,$R$26,$R$27)</f>
        <v>2.8665157187919439E-7</v>
      </c>
      <c r="M63" s="56">
        <v>41494</v>
      </c>
      <c r="N63" s="57">
        <v>0.03</v>
      </c>
      <c r="O63" s="58">
        <f t="shared" si="0"/>
        <v>-1.8971199848858813</v>
      </c>
      <c r="T63" s="85">
        <f>$U$22+$B$38/100</f>
        <v>4.0370400000000001E-2</v>
      </c>
      <c r="U63" s="28">
        <f>$X$23</f>
        <v>8.1539465101108934</v>
      </c>
    </row>
    <row r="64" spans="5:21" ht="15" x14ac:dyDescent="0.2">
      <c r="E64" s="72">
        <v>-4.8</v>
      </c>
      <c r="F64" s="73">
        <f t="shared" ref="F64:F113" si="6">$B$16+$E64*$B$17</f>
        <v>-4.2036004986204675E-2</v>
      </c>
      <c r="G64" s="73">
        <f t="shared" ref="G64:G113" si="7">NORMDIST($F64,$B$16,$B$17,FALSE)</f>
        <v>2.6720664198404733E-4</v>
      </c>
      <c r="H64" s="73">
        <f t="shared" ref="H64:H113" si="8">EXP($R$26+$E64*$R$27)</f>
        <v>9.7414714314186968E-2</v>
      </c>
      <c r="I64" s="73">
        <f t="shared" si="5"/>
        <v>-2.2585285685813028E-2</v>
      </c>
      <c r="J64" s="73">
        <f t="shared" ref="J64:J113" si="9">1/$H64/SQRT(2*PI())/$R$27*EXP(-POWER(LN($H64)-$R$26,2)/2/POWER($R$27,2))</f>
        <v>4.6287705722572849E-4</v>
      </c>
      <c r="K64" s="73">
        <f t="shared" ref="K64:K113" si="10">LOGNORMDIST($H64,$R$26,$R$27)</f>
        <v>7.933281519755875E-7</v>
      </c>
      <c r="M64" s="56">
        <v>41600</v>
      </c>
      <c r="N64" s="57">
        <v>0.03</v>
      </c>
      <c r="O64" s="58">
        <f t="shared" si="0"/>
        <v>-1.8971199848858813</v>
      </c>
      <c r="T64" s="85">
        <f>$U$23-$B$38/100</f>
        <v>4.5309600000000005E-2</v>
      </c>
      <c r="U64" s="28">
        <f>$X$23</f>
        <v>8.1539465101108934</v>
      </c>
    </row>
    <row r="65" spans="5:21" ht="15" x14ac:dyDescent="0.2">
      <c r="E65" s="72">
        <v>-4.5999999999999996</v>
      </c>
      <c r="F65" s="73">
        <f t="shared" si="6"/>
        <v>-3.9071034458811438E-2</v>
      </c>
      <c r="G65" s="73">
        <f t="shared" si="7"/>
        <v>6.8404403833332423E-4</v>
      </c>
      <c r="H65" s="73">
        <f t="shared" si="8"/>
        <v>9.9141438164450257E-2</v>
      </c>
      <c r="I65" s="73">
        <f t="shared" si="5"/>
        <v>-2.0858561835549738E-2</v>
      </c>
      <c r="J65" s="73">
        <f t="shared" si="9"/>
        <v>1.1643185450856974E-3</v>
      </c>
      <c r="K65" s="73">
        <f t="shared" si="10"/>
        <v>2.1124547025028651E-6</v>
      </c>
      <c r="M65" s="56">
        <v>41684</v>
      </c>
      <c r="N65" s="57">
        <v>0.03</v>
      </c>
      <c r="O65" s="58">
        <f t="shared" si="0"/>
        <v>-1.8971199848858813</v>
      </c>
      <c r="T65" s="85">
        <f>$U$23+$B$38/100</f>
        <v>4.5410400000000004E-2</v>
      </c>
      <c r="U65" s="28">
        <f>$X$24</f>
        <v>5.4359643400739293</v>
      </c>
    </row>
    <row r="66" spans="5:21" ht="15" x14ac:dyDescent="0.2">
      <c r="E66" s="72">
        <v>-4.4000000000000004</v>
      </c>
      <c r="F66" s="73">
        <f t="shared" si="6"/>
        <v>-3.6106063931418214E-2</v>
      </c>
      <c r="G66" s="73">
        <f t="shared" si="7"/>
        <v>1.6824768448530083E-3</v>
      </c>
      <c r="H66" s="73">
        <f t="shared" si="8"/>
        <v>0.10089876904647517</v>
      </c>
      <c r="I66" s="73">
        <f t="shared" si="5"/>
        <v>-1.9101230953524825E-2</v>
      </c>
      <c r="J66" s="73">
        <f t="shared" si="9"/>
        <v>2.813884033735141E-3</v>
      </c>
      <c r="K66" s="73">
        <f t="shared" si="10"/>
        <v>5.4125439077038416E-6</v>
      </c>
      <c r="M66" s="56">
        <v>41782</v>
      </c>
      <c r="N66" s="57">
        <v>0.03</v>
      </c>
      <c r="O66" s="58">
        <f t="shared" si="0"/>
        <v>-1.8971199848858813</v>
      </c>
      <c r="T66" s="85">
        <f>$U$24-$B$38/100</f>
        <v>5.0349600000000001E-2</v>
      </c>
      <c r="U66" s="28">
        <f>$X$24</f>
        <v>5.4359643400739293</v>
      </c>
    </row>
    <row r="67" spans="5:21" ht="15" x14ac:dyDescent="0.2">
      <c r="E67" s="72">
        <v>-4.2</v>
      </c>
      <c r="F67" s="73">
        <f t="shared" si="6"/>
        <v>-3.3141093404024977E-2</v>
      </c>
      <c r="G67" s="73">
        <f t="shared" si="7"/>
        <v>3.9759631478267768E-3</v>
      </c>
      <c r="H67" s="73">
        <f t="shared" si="8"/>
        <v>0.10268724948499326</v>
      </c>
      <c r="I67" s="73">
        <f t="shared" si="5"/>
        <v>-1.7312750515006733E-2</v>
      </c>
      <c r="J67" s="73">
        <f t="shared" si="9"/>
        <v>6.5338445287992904E-3</v>
      </c>
      <c r="K67" s="73">
        <f t="shared" si="10"/>
        <v>1.3345749015906212E-5</v>
      </c>
      <c r="M67" s="56">
        <v>41880</v>
      </c>
      <c r="N67" s="57">
        <v>0.03</v>
      </c>
      <c r="O67" s="58">
        <f t="shared" ref="O67:O130" si="11">IF($N67&gt;0,LN($N67+$B$26))</f>
        <v>-1.8971199848858813</v>
      </c>
      <c r="T67" s="85">
        <f>$U$24+$B$38/100</f>
        <v>5.0450399999999999E-2</v>
      </c>
      <c r="U67" s="28">
        <f>$X$25</f>
        <v>5.4359643400739293</v>
      </c>
    </row>
    <row r="68" spans="5:21" ht="15" x14ac:dyDescent="0.2">
      <c r="E68" s="72">
        <v>-4</v>
      </c>
      <c r="F68" s="73">
        <f t="shared" si="6"/>
        <v>-3.0176122876631749E-2</v>
      </c>
      <c r="G68" s="73">
        <f t="shared" si="7"/>
        <v>9.0274236811755029E-3</v>
      </c>
      <c r="H68" s="73">
        <f t="shared" si="8"/>
        <v>0.10450743162125449</v>
      </c>
      <c r="I68" s="73">
        <f t="shared" si="5"/>
        <v>-1.5492568378745505E-2</v>
      </c>
      <c r="J68" s="73">
        <f t="shared" si="9"/>
        <v>1.4576713505856355E-2</v>
      </c>
      <c r="K68" s="73">
        <f t="shared" si="10"/>
        <v>3.1671241833119972E-5</v>
      </c>
      <c r="M68" s="56">
        <v>41963</v>
      </c>
      <c r="N68" s="57">
        <v>0.03</v>
      </c>
      <c r="O68" s="58">
        <f t="shared" si="11"/>
        <v>-1.8971199848858813</v>
      </c>
      <c r="T68" s="85">
        <f>$U$25-$B$38/100</f>
        <v>5.5389600000000004E-2</v>
      </c>
      <c r="U68" s="28">
        <f>$X$25</f>
        <v>5.4359643400739293</v>
      </c>
    </row>
    <row r="69" spans="5:21" ht="15" x14ac:dyDescent="0.2">
      <c r="E69" s="72">
        <v>-3.8</v>
      </c>
      <c r="F69" s="73">
        <f t="shared" si="6"/>
        <v>-2.7211152349238519E-2</v>
      </c>
      <c r="G69" s="73">
        <f t="shared" si="7"/>
        <v>1.9693074389386018E-2</v>
      </c>
      <c r="H69" s="73">
        <f t="shared" si="8"/>
        <v>0.10635987738348462</v>
      </c>
      <c r="I69" s="73">
        <f t="shared" si="5"/>
        <v>-1.3640122616515371E-2</v>
      </c>
      <c r="J69" s="73">
        <f t="shared" si="9"/>
        <v>3.1244865584574198E-2</v>
      </c>
      <c r="K69" s="73">
        <f t="shared" si="10"/>
        <v>7.2348043925119407E-5</v>
      </c>
      <c r="M69" s="56">
        <v>42045</v>
      </c>
      <c r="N69" s="57">
        <v>0.03</v>
      </c>
      <c r="O69" s="58">
        <f t="shared" si="11"/>
        <v>-1.8971199848858813</v>
      </c>
      <c r="T69" s="85">
        <f>$U$25+$B$38/100</f>
        <v>5.5490400000000002E-2</v>
      </c>
      <c r="U69" s="28">
        <f>$X$26</f>
        <v>2.7179821700369646</v>
      </c>
    </row>
    <row r="70" spans="5:21" ht="15" x14ac:dyDescent="0.2">
      <c r="E70" s="72">
        <v>-3.6</v>
      </c>
      <c r="F70" s="73">
        <f t="shared" si="6"/>
        <v>-2.4246181821845288E-2</v>
      </c>
      <c r="G70" s="73">
        <f t="shared" si="7"/>
        <v>4.1275414002293592E-2</v>
      </c>
      <c r="H70" s="73">
        <f t="shared" si="8"/>
        <v>0.10824515866036453</v>
      </c>
      <c r="I70" s="73">
        <f t="shared" si="5"/>
        <v>-1.1754841339635461E-2</v>
      </c>
      <c r="J70" s="73">
        <f t="shared" si="9"/>
        <v>6.4346647367843485E-2</v>
      </c>
      <c r="K70" s="73">
        <f t="shared" si="10"/>
        <v>1.5910859015753469E-4</v>
      </c>
      <c r="M70" s="56">
        <v>42145</v>
      </c>
      <c r="N70" s="57">
        <v>3.1E-2</v>
      </c>
      <c r="O70" s="58">
        <f t="shared" si="11"/>
        <v>-1.8904754421672127</v>
      </c>
      <c r="T70" s="85">
        <f>$U$26-$B$38/100</f>
        <v>6.0429600000000007E-2</v>
      </c>
      <c r="U70" s="28">
        <f>$X$26</f>
        <v>2.7179821700369646</v>
      </c>
    </row>
    <row r="71" spans="5:21" ht="15" x14ac:dyDescent="0.2">
      <c r="E71" s="72">
        <v>-3.4</v>
      </c>
      <c r="F71" s="73">
        <f t="shared" si="6"/>
        <v>-2.1281211294452058E-2</v>
      </c>
      <c r="G71" s="73">
        <f t="shared" si="7"/>
        <v>8.3118476699083468E-2</v>
      </c>
      <c r="H71" s="73">
        <f t="shared" si="8"/>
        <v>0.11016385747758377</v>
      </c>
      <c r="I71" s="73">
        <f t="shared" si="5"/>
        <v>-9.8361425224162274E-3</v>
      </c>
      <c r="J71" s="73">
        <f t="shared" si="9"/>
        <v>0.12732140073834178</v>
      </c>
      <c r="K71" s="73">
        <f t="shared" si="10"/>
        <v>3.3692926567687983E-4</v>
      </c>
      <c r="M71" s="56">
        <v>42236</v>
      </c>
      <c r="N71" s="57">
        <v>0.03</v>
      </c>
      <c r="O71" s="58">
        <f t="shared" si="11"/>
        <v>-1.8971199848858813</v>
      </c>
      <c r="T71" s="85">
        <f>$U$26+$B$38/100</f>
        <v>6.0530400000000005E-2</v>
      </c>
      <c r="U71" s="28">
        <f>$X$27</f>
        <v>5.4359643400739293</v>
      </c>
    </row>
    <row r="72" spans="5:21" ht="15" x14ac:dyDescent="0.2">
      <c r="E72" s="72">
        <v>-3.2</v>
      </c>
      <c r="F72" s="73">
        <f t="shared" si="6"/>
        <v>-1.8316240767058827E-2</v>
      </c>
      <c r="G72" s="73">
        <f t="shared" si="7"/>
        <v>0.16081699156456061</v>
      </c>
      <c r="H72" s="73">
        <f t="shared" si="8"/>
        <v>0.11211656617752445</v>
      </c>
      <c r="I72" s="73">
        <f t="shared" si="5"/>
        <v>-7.8834338224755413E-3</v>
      </c>
      <c r="J72" s="73">
        <f t="shared" si="9"/>
        <v>0.24205001428622711</v>
      </c>
      <c r="K72" s="73">
        <f t="shared" si="10"/>
        <v>6.8713793791585456E-4</v>
      </c>
      <c r="M72" s="56">
        <v>42327</v>
      </c>
      <c r="N72" s="57">
        <v>0.03</v>
      </c>
      <c r="O72" s="58">
        <f t="shared" si="11"/>
        <v>-1.8971199848858813</v>
      </c>
      <c r="T72" s="85">
        <f>$U$27-$B$38/100</f>
        <v>6.5469600000000003E-2</v>
      </c>
      <c r="U72" s="28">
        <f>$X$27</f>
        <v>5.4359643400739293</v>
      </c>
    </row>
    <row r="73" spans="5:21" ht="15" x14ac:dyDescent="0.2">
      <c r="E73" s="72">
        <v>-3</v>
      </c>
      <c r="F73" s="73">
        <f t="shared" si="6"/>
        <v>-1.535127023966559E-2</v>
      </c>
      <c r="G73" s="73">
        <f t="shared" si="7"/>
        <v>0.29894721522472917</v>
      </c>
      <c r="H73" s="73">
        <f t="shared" si="8"/>
        <v>0.11410388760212935</v>
      </c>
      <c r="I73" s="73">
        <f t="shared" si="5"/>
        <v>-5.8961123978706481E-3</v>
      </c>
      <c r="J73" s="73">
        <f t="shared" si="9"/>
        <v>0.44211682041877765</v>
      </c>
      <c r="K73" s="73">
        <f t="shared" si="10"/>
        <v>1.3498980316300954E-3</v>
      </c>
      <c r="M73" s="56">
        <v>42502</v>
      </c>
      <c r="N73" s="57">
        <v>4.2000000000000003E-2</v>
      </c>
      <c r="O73" s="58">
        <f t="shared" si="11"/>
        <v>-1.820158943749753</v>
      </c>
      <c r="T73" s="85">
        <f>$U$27+$B$38/100</f>
        <v>6.5570400000000015E-2</v>
      </c>
      <c r="U73" s="28">
        <f>$X$28</f>
        <v>0</v>
      </c>
    </row>
    <row r="74" spans="5:21" ht="15" x14ac:dyDescent="0.2">
      <c r="E74" s="72">
        <v>-2.8</v>
      </c>
      <c r="F74" s="73">
        <f t="shared" si="6"/>
        <v>-1.2386299712272359E-2</v>
      </c>
      <c r="G74" s="73">
        <f t="shared" si="7"/>
        <v>0.53393121515707909</v>
      </c>
      <c r="H74" s="73">
        <f t="shared" si="8"/>
        <v>0.11612643527901208</v>
      </c>
      <c r="I74" s="73">
        <f t="shared" si="5"/>
        <v>-3.8735647209879182E-3</v>
      </c>
      <c r="J74" s="73">
        <f t="shared" si="9"/>
        <v>0.77588469334011245</v>
      </c>
      <c r="K74" s="73">
        <f t="shared" si="10"/>
        <v>2.555130330427919E-3</v>
      </c>
      <c r="M74" s="56">
        <v>42607</v>
      </c>
      <c r="N74" s="57">
        <v>0.03</v>
      </c>
      <c r="O74" s="58">
        <f t="shared" si="11"/>
        <v>-1.8971199848858813</v>
      </c>
      <c r="T74" s="85">
        <f>$U$28-$B$38/100</f>
        <v>7.0509599999999992E-2</v>
      </c>
      <c r="U74" s="28">
        <f>$X$28</f>
        <v>0</v>
      </c>
    </row>
    <row r="75" spans="5:21" ht="15" x14ac:dyDescent="0.2">
      <c r="E75" s="72">
        <v>-2.6</v>
      </c>
      <c r="F75" s="73">
        <f t="shared" si="6"/>
        <v>-9.4213291848791285E-3</v>
      </c>
      <c r="G75" s="73">
        <f t="shared" si="7"/>
        <v>0.91622962914424833</v>
      </c>
      <c r="H75" s="73">
        <f t="shared" si="8"/>
        <v>0.11818483361086576</v>
      </c>
      <c r="I75" s="73">
        <f t="shared" si="5"/>
        <v>-1.8151663891342318E-3</v>
      </c>
      <c r="J75" s="73">
        <f t="shared" si="9"/>
        <v>1.3082343588825953</v>
      </c>
      <c r="K75" s="73">
        <f t="shared" si="10"/>
        <v>4.6611880237187649E-3</v>
      </c>
      <c r="M75" s="56">
        <v>42699</v>
      </c>
      <c r="N75" s="57">
        <v>0.03</v>
      </c>
      <c r="O75" s="58">
        <f t="shared" si="11"/>
        <v>-1.8971199848858813</v>
      </c>
      <c r="T75" s="85">
        <f>$U$28+$B$38/100</f>
        <v>7.0610400000000004E-2</v>
      </c>
      <c r="U75" s="28">
        <f>$X$29</f>
        <v>0</v>
      </c>
    </row>
    <row r="76" spans="5:21" ht="15" x14ac:dyDescent="0.2">
      <c r="E76" s="72">
        <v>-2.4</v>
      </c>
      <c r="F76" s="73">
        <f t="shared" si="6"/>
        <v>-6.4563586574858979E-3</v>
      </c>
      <c r="G76" s="73">
        <f t="shared" si="7"/>
        <v>1.5106072784158107</v>
      </c>
      <c r="H76" s="73">
        <f t="shared" si="8"/>
        <v>0.12027971806822904</v>
      </c>
      <c r="I76" s="73">
        <f t="shared" si="5"/>
        <v>2.7971806822904566E-4</v>
      </c>
      <c r="J76" s="73">
        <f t="shared" si="9"/>
        <v>2.1193473378531191</v>
      </c>
      <c r="K76" s="73">
        <f t="shared" si="10"/>
        <v>8.1975359245961103E-3</v>
      </c>
      <c r="M76" s="56"/>
      <c r="N76" s="57"/>
      <c r="O76" s="58" t="b">
        <f t="shared" si="11"/>
        <v>0</v>
      </c>
      <c r="T76" s="85">
        <f>$U$29-$B$38/100</f>
        <v>7.5549599999999995E-2</v>
      </c>
      <c r="U76" s="28">
        <f>$X$29</f>
        <v>0</v>
      </c>
    </row>
    <row r="77" spans="5:21" ht="15" x14ac:dyDescent="0.2">
      <c r="E77" s="72">
        <v>-2.2000000000000002</v>
      </c>
      <c r="F77" s="73">
        <f t="shared" si="6"/>
        <v>-3.4913881300926673E-3</v>
      </c>
      <c r="G77" s="73">
        <f t="shared" si="7"/>
        <v>2.392913691281803</v>
      </c>
      <c r="H77" s="73">
        <f t="shared" si="8"/>
        <v>0.12241173538566943</v>
      </c>
      <c r="I77" s="73">
        <f t="shared" si="5"/>
        <v>2.411735385669439E-3</v>
      </c>
      <c r="J77" s="73">
        <f t="shared" si="9"/>
        <v>3.298731343266311</v>
      </c>
      <c r="K77" s="73">
        <f t="shared" si="10"/>
        <v>1.3903447513498698E-2</v>
      </c>
      <c r="L77" s="16"/>
      <c r="M77" s="56"/>
      <c r="N77" s="57"/>
      <c r="O77" s="58" t="b">
        <f t="shared" si="11"/>
        <v>0</v>
      </c>
      <c r="T77" s="85">
        <f>$U$29+$B$38/100</f>
        <v>7.5650400000000007E-2</v>
      </c>
      <c r="U77" s="28">
        <f>$X$30</f>
        <v>0</v>
      </c>
    </row>
    <row r="78" spans="5:21" ht="15" x14ac:dyDescent="0.2">
      <c r="E78" s="72">
        <v>-2</v>
      </c>
      <c r="F78" s="73">
        <f t="shared" si="6"/>
        <v>-5.2641760269943674E-4</v>
      </c>
      <c r="G78" s="73">
        <f t="shared" si="7"/>
        <v>3.6419226440443788</v>
      </c>
      <c r="H78" s="73">
        <f t="shared" si="8"/>
        <v>0.12458154376144338</v>
      </c>
      <c r="I78" s="73">
        <f t="shared" si="5"/>
        <v>4.5815437614433879E-3</v>
      </c>
      <c r="J78" s="73">
        <f t="shared" si="9"/>
        <v>4.9331006451238713</v>
      </c>
      <c r="K78" s="73">
        <f t="shared" si="10"/>
        <v>2.2750131948179219E-2</v>
      </c>
      <c r="L78" s="16"/>
      <c r="M78" s="56"/>
      <c r="N78" s="57"/>
      <c r="O78" s="58" t="b">
        <f t="shared" si="11"/>
        <v>0</v>
      </c>
      <c r="T78" s="85">
        <f>$U$30-$B$38/100</f>
        <v>8.0589599999999997E-2</v>
      </c>
      <c r="U78" s="28">
        <f>$X$30</f>
        <v>0</v>
      </c>
    </row>
    <row r="79" spans="5:21" ht="15" x14ac:dyDescent="0.2">
      <c r="E79" s="72">
        <v>-1.8</v>
      </c>
      <c r="F79" s="73">
        <f t="shared" si="6"/>
        <v>2.4385529246937938E-3</v>
      </c>
      <c r="G79" s="73">
        <f t="shared" si="7"/>
        <v>5.3255273582976379</v>
      </c>
      <c r="H79" s="73">
        <f t="shared" si="8"/>
        <v>0.12678981306069614</v>
      </c>
      <c r="I79" s="73">
        <f t="shared" si="5"/>
        <v>6.7898130606961482E-3</v>
      </c>
      <c r="J79" s="73">
        <f t="shared" si="9"/>
        <v>7.0879594744550776</v>
      </c>
      <c r="K79" s="73">
        <f t="shared" si="10"/>
        <v>3.593031911292565E-2</v>
      </c>
      <c r="L79" s="16"/>
      <c r="M79" s="56"/>
      <c r="N79" s="57"/>
      <c r="O79" s="58" t="b">
        <f t="shared" si="11"/>
        <v>0</v>
      </c>
      <c r="T79" s="85">
        <f>$U$30+$B$38/100</f>
        <v>8.0690400000000009E-2</v>
      </c>
      <c r="U79" s="28">
        <f>$X$31</f>
        <v>0</v>
      </c>
    </row>
    <row r="80" spans="5:21" ht="15" x14ac:dyDescent="0.2">
      <c r="E80" s="72">
        <v>-1.6</v>
      </c>
      <c r="F80" s="73">
        <f t="shared" si="6"/>
        <v>5.4035234520870244E-3</v>
      </c>
      <c r="G80" s="73">
        <f t="shared" si="7"/>
        <v>7.4820868305207675</v>
      </c>
      <c r="H80" s="73">
        <f t="shared" si="8"/>
        <v>0.12903722502226306</v>
      </c>
      <c r="I80" s="73">
        <f t="shared" si="5"/>
        <v>9.0372250222630623E-3</v>
      </c>
      <c r="J80" s="73">
        <f t="shared" si="9"/>
        <v>9.7847716823214661</v>
      </c>
      <c r="K80" s="73">
        <f t="shared" si="10"/>
        <v>5.4799291699558127E-2</v>
      </c>
      <c r="L80" s="16"/>
      <c r="M80" s="56"/>
      <c r="N80" s="57"/>
      <c r="O80" s="58" t="b">
        <f t="shared" si="11"/>
        <v>0</v>
      </c>
      <c r="T80" s="85">
        <f>$U$31-$B$38/100</f>
        <v>8.56296E-2</v>
      </c>
      <c r="U80" s="28">
        <f>$X$31</f>
        <v>0</v>
      </c>
    </row>
    <row r="81" spans="5:21" ht="15" x14ac:dyDescent="0.2">
      <c r="E81" s="72">
        <v>-1.4</v>
      </c>
      <c r="F81" s="73">
        <f t="shared" si="6"/>
        <v>8.3684939794802585E-3</v>
      </c>
      <c r="G81" s="73">
        <f t="shared" si="7"/>
        <v>10.099760807226881</v>
      </c>
      <c r="H81" s="73">
        <f t="shared" si="8"/>
        <v>0.13132447346913634</v>
      </c>
      <c r="I81" s="73">
        <f t="shared" si="5"/>
        <v>1.1324473469136342E-2</v>
      </c>
      <c r="J81" s="73">
        <f t="shared" si="9"/>
        <v>12.978018458353894</v>
      </c>
      <c r="K81" s="73">
        <f t="shared" si="10"/>
        <v>8.0756659233770914E-2</v>
      </c>
      <c r="L81" s="14"/>
      <c r="M81" s="56"/>
      <c r="N81" s="57"/>
      <c r="O81" s="58" t="b">
        <f t="shared" si="11"/>
        <v>0</v>
      </c>
      <c r="T81" s="85">
        <f>$U$31+$B$38/100</f>
        <v>8.5730400000000012E-2</v>
      </c>
      <c r="U81" s="28">
        <f>$X$32</f>
        <v>0</v>
      </c>
    </row>
    <row r="82" spans="5:21" ht="15" x14ac:dyDescent="0.2">
      <c r="E82" s="72">
        <v>-1.2</v>
      </c>
      <c r="F82" s="73">
        <f t="shared" si="6"/>
        <v>1.1333464506873489E-2</v>
      </c>
      <c r="G82" s="73">
        <f t="shared" si="7"/>
        <v>13.098683659020324</v>
      </c>
      <c r="H82" s="73">
        <f t="shared" si="8"/>
        <v>0.13365226452266304</v>
      </c>
      <c r="I82" s="73">
        <f t="shared" si="5"/>
        <v>1.3652264522663049E-2</v>
      </c>
      <c r="J82" s="73">
        <f t="shared" si="9"/>
        <v>16.538430762916654</v>
      </c>
      <c r="K82" s="73">
        <f t="shared" si="10"/>
        <v>0.11506967022170868</v>
      </c>
      <c r="L82" s="14"/>
      <c r="M82" s="56"/>
      <c r="N82" s="57"/>
      <c r="O82" s="58" t="b">
        <f t="shared" si="11"/>
        <v>0</v>
      </c>
      <c r="T82" s="85">
        <f>$U$32-$B$38/100</f>
        <v>9.0669600000000003E-2</v>
      </c>
      <c r="U82" s="28">
        <f>$X$32</f>
        <v>0</v>
      </c>
    </row>
    <row r="83" spans="5:21" ht="15" x14ac:dyDescent="0.2">
      <c r="E83" s="72">
        <v>-1</v>
      </c>
      <c r="F83" s="73">
        <f t="shared" si="6"/>
        <v>1.429843503426672E-2</v>
      </c>
      <c r="G83" s="73">
        <f t="shared" si="7"/>
        <v>16.321964908830395</v>
      </c>
      <c r="H83" s="73">
        <f t="shared" si="8"/>
        <v>0.13602131682053922</v>
      </c>
      <c r="I83" s="73">
        <f t="shared" si="5"/>
        <v>1.6021316820539228E-2</v>
      </c>
      <c r="J83" s="73">
        <f t="shared" si="9"/>
        <v>20.249226213768392</v>
      </c>
      <c r="K83" s="73">
        <f t="shared" si="10"/>
        <v>0.15865525393145713</v>
      </c>
      <c r="L83" s="14"/>
      <c r="M83" s="56"/>
      <c r="N83" s="57"/>
      <c r="O83" s="58" t="b">
        <f t="shared" si="11"/>
        <v>0</v>
      </c>
      <c r="T83" s="85">
        <f>$U$32+$B$38/100</f>
        <v>9.0770400000000015E-2</v>
      </c>
      <c r="U83" s="28">
        <f>$X$33</f>
        <v>0</v>
      </c>
    </row>
    <row r="84" spans="5:21" ht="15" x14ac:dyDescent="0.2">
      <c r="E84" s="72">
        <v>-0.8</v>
      </c>
      <c r="F84" s="73">
        <f t="shared" si="6"/>
        <v>1.726340556165995E-2</v>
      </c>
      <c r="G84" s="73">
        <f t="shared" si="7"/>
        <v>19.540939789116642</v>
      </c>
      <c r="H84" s="73">
        <f t="shared" si="8"/>
        <v>0.13843236173866855</v>
      </c>
      <c r="I84" s="73">
        <f t="shared" si="5"/>
        <v>1.8432361738668551E-2</v>
      </c>
      <c r="J84" s="73">
        <f t="shared" si="9"/>
        <v>23.820495188855098</v>
      </c>
      <c r="K84" s="73">
        <f t="shared" si="10"/>
        <v>0.21185539858339686</v>
      </c>
      <c r="M84" s="56"/>
      <c r="N84" s="57"/>
      <c r="O84" s="58" t="b">
        <f t="shared" si="11"/>
        <v>0</v>
      </c>
      <c r="T84" s="85">
        <f>$U$33-$B$38/100</f>
        <v>9.5709599999999992E-2</v>
      </c>
      <c r="U84" s="28">
        <f>$X$33</f>
        <v>0</v>
      </c>
    </row>
    <row r="85" spans="5:21" ht="15" x14ac:dyDescent="0.2">
      <c r="E85" s="72">
        <v>-0.6</v>
      </c>
      <c r="F85" s="73">
        <f t="shared" si="6"/>
        <v>2.0228376089053181E-2</v>
      </c>
      <c r="G85" s="73">
        <f t="shared" si="7"/>
        <v>22.477431044467547</v>
      </c>
      <c r="H85" s="73">
        <f t="shared" si="8"/>
        <v>0.14088614361695323</v>
      </c>
      <c r="I85" s="73">
        <f t="shared" si="5"/>
        <v>2.0886143616953234E-2</v>
      </c>
      <c r="J85" s="73">
        <f t="shared" si="9"/>
        <v>26.92287033807132</v>
      </c>
      <c r="K85" s="73">
        <f t="shared" si="10"/>
        <v>0.27425311775007388</v>
      </c>
      <c r="M85" s="56"/>
      <c r="N85" s="57"/>
      <c r="O85" s="58" t="b">
        <f t="shared" si="11"/>
        <v>0</v>
      </c>
      <c r="T85" s="85">
        <f>$U$33+$B$38/100</f>
        <v>9.5810400000000004E-2</v>
      </c>
      <c r="U85" s="28">
        <f>$X$34</f>
        <v>0</v>
      </c>
    </row>
    <row r="86" spans="5:21" ht="15" x14ac:dyDescent="0.2">
      <c r="E86" s="72">
        <v>-0.4</v>
      </c>
      <c r="F86" s="73">
        <f t="shared" si="6"/>
        <v>2.3193346616446411E-2</v>
      </c>
      <c r="G86" s="73">
        <f t="shared" si="7"/>
        <v>24.84140310339626</v>
      </c>
      <c r="H86" s="73">
        <f t="shared" si="8"/>
        <v>0.14338341998908724</v>
      </c>
      <c r="I86" s="73">
        <f t="shared" si="5"/>
        <v>2.3383419989087245E-2</v>
      </c>
      <c r="J86" s="73">
        <f t="shared" si="9"/>
        <v>29.236148184684609</v>
      </c>
      <c r="K86" s="73">
        <f t="shared" si="10"/>
        <v>0.34457825838967548</v>
      </c>
      <c r="M86" s="56"/>
      <c r="N86" s="57"/>
      <c r="O86" s="58" t="b">
        <f t="shared" si="11"/>
        <v>0</v>
      </c>
      <c r="T86" s="85">
        <f>$U$34-$B$38/100</f>
        <v>0.10074959999999999</v>
      </c>
      <c r="U86" s="28">
        <f>$X$34</f>
        <v>0</v>
      </c>
    </row>
    <row r="87" spans="5:21" ht="15" x14ac:dyDescent="0.2">
      <c r="E87" s="72">
        <v>-0.2</v>
      </c>
      <c r="F87" s="73">
        <f t="shared" si="6"/>
        <v>2.6158317143839645E-2</v>
      </c>
      <c r="G87" s="73">
        <f t="shared" si="7"/>
        <v>26.377509682651464</v>
      </c>
      <c r="H87" s="73">
        <f t="shared" si="8"/>
        <v>0.14592496181642303</v>
      </c>
      <c r="I87" s="73">
        <f t="shared" si="5"/>
        <v>2.5924961816423037E-2</v>
      </c>
      <c r="J87" s="73">
        <f t="shared" si="9"/>
        <v>30.503324159590882</v>
      </c>
      <c r="K87" s="73">
        <f t="shared" si="10"/>
        <v>0.42074029056089679</v>
      </c>
      <c r="M87" s="56"/>
      <c r="N87" s="57"/>
      <c r="O87" s="58" t="b">
        <f t="shared" si="11"/>
        <v>0</v>
      </c>
      <c r="T87" s="85">
        <f>$U$34+$B$38/100</f>
        <v>0.10085040000000001</v>
      </c>
      <c r="U87" s="28">
        <f>$X$35</f>
        <v>0</v>
      </c>
    </row>
    <row r="88" spans="5:21" ht="15" x14ac:dyDescent="0.2">
      <c r="E88" s="72">
        <v>0</v>
      </c>
      <c r="F88" s="73">
        <f t="shared" si="6"/>
        <v>2.9123287671232876E-2</v>
      </c>
      <c r="G88" s="73">
        <f t="shared" si="7"/>
        <v>26.910370724809752</v>
      </c>
      <c r="H88" s="73">
        <f t="shared" si="8"/>
        <v>0.14851155372598301</v>
      </c>
      <c r="I88" s="73">
        <f t="shared" si="5"/>
        <v>2.8511553725983019E-2</v>
      </c>
      <c r="J88" s="73">
        <f t="shared" si="9"/>
        <v>30.577530377947721</v>
      </c>
      <c r="K88" s="73">
        <f t="shared" si="10"/>
        <v>0.5</v>
      </c>
      <c r="M88" s="56"/>
      <c r="N88" s="57"/>
      <c r="O88" s="58" t="b">
        <f t="shared" si="11"/>
        <v>0</v>
      </c>
      <c r="T88" s="85">
        <f>$U$35-$B$38/100</f>
        <v>0.1057896</v>
      </c>
      <c r="U88" s="28">
        <f>$X$35</f>
        <v>0</v>
      </c>
    </row>
    <row r="89" spans="5:21" ht="15" x14ac:dyDescent="0.2">
      <c r="E89" s="72">
        <v>0.2</v>
      </c>
      <c r="F89" s="73">
        <f t="shared" si="6"/>
        <v>3.208825819862611E-2</v>
      </c>
      <c r="G89" s="73">
        <f t="shared" si="7"/>
        <v>26.377509682651464</v>
      </c>
      <c r="H89" s="73">
        <f t="shared" si="8"/>
        <v>0.15114399425269062</v>
      </c>
      <c r="I89" s="73">
        <f t="shared" si="5"/>
        <v>3.1143994252690627E-2</v>
      </c>
      <c r="J89" s="73">
        <f t="shared" si="9"/>
        <v>29.450038258354645</v>
      </c>
      <c r="K89" s="73">
        <f t="shared" si="10"/>
        <v>0.57925970943910321</v>
      </c>
      <c r="M89" s="56"/>
      <c r="N89" s="57"/>
      <c r="O89" s="58" t="b">
        <f t="shared" si="11"/>
        <v>0</v>
      </c>
      <c r="T89" s="85">
        <f>$U$35+$B$38/100</f>
        <v>0.10589040000000001</v>
      </c>
      <c r="U89" s="28">
        <f>$X$36</f>
        <v>0</v>
      </c>
    </row>
    <row r="90" spans="5:21" ht="15" x14ac:dyDescent="0.2">
      <c r="E90" s="72">
        <v>0.4</v>
      </c>
      <c r="F90" s="73">
        <f t="shared" si="6"/>
        <v>3.5053228726019341E-2</v>
      </c>
      <c r="G90" s="73">
        <f t="shared" si="7"/>
        <v>24.84140310339626</v>
      </c>
      <c r="H90" s="73">
        <f t="shared" si="8"/>
        <v>0.15382309608589456</v>
      </c>
      <c r="I90" s="73">
        <f t="shared" si="5"/>
        <v>3.3823096085894566E-2</v>
      </c>
      <c r="J90" s="73">
        <f t="shared" si="9"/>
        <v>27.251947338825047</v>
      </c>
      <c r="K90" s="73">
        <f t="shared" si="10"/>
        <v>0.65542174161032452</v>
      </c>
      <c r="M90" s="56"/>
      <c r="N90" s="57"/>
      <c r="O90" s="58" t="b">
        <f t="shared" si="11"/>
        <v>0</v>
      </c>
      <c r="T90" s="85">
        <f>$U$36-$B$38/100</f>
        <v>0.1108296</v>
      </c>
      <c r="U90" s="28">
        <f>$X$36</f>
        <v>0</v>
      </c>
    </row>
    <row r="91" spans="5:21" ht="15" x14ac:dyDescent="0.2">
      <c r="E91" s="72">
        <v>0.6</v>
      </c>
      <c r="F91" s="73">
        <f t="shared" si="6"/>
        <v>3.8018199253412571E-2</v>
      </c>
      <c r="G91" s="73">
        <f t="shared" si="7"/>
        <v>22.477431044467547</v>
      </c>
      <c r="H91" s="73">
        <f t="shared" si="8"/>
        <v>0.15654968632026295</v>
      </c>
      <c r="I91" s="73">
        <f t="shared" si="5"/>
        <v>3.6549686320262953E-2</v>
      </c>
      <c r="J91" s="73">
        <f t="shared" si="9"/>
        <v>24.229108765318379</v>
      </c>
      <c r="K91" s="73">
        <f t="shared" si="10"/>
        <v>0.72574688224992612</v>
      </c>
      <c r="M91" s="56"/>
      <c r="N91" s="57"/>
      <c r="O91" s="58" t="b">
        <f t="shared" si="11"/>
        <v>0</v>
      </c>
      <c r="T91" s="85">
        <f>$U$36+$B$38/100</f>
        <v>0.11093040000000001</v>
      </c>
      <c r="U91" s="28">
        <f>$X$37</f>
        <v>0</v>
      </c>
    </row>
    <row r="92" spans="5:21" ht="15" x14ac:dyDescent="0.2">
      <c r="E92" s="72">
        <v>0.80000000000001004</v>
      </c>
      <c r="F92" s="73">
        <f t="shared" si="6"/>
        <v>4.0983169780805948E-2</v>
      </c>
      <c r="G92" s="73">
        <f t="shared" si="7"/>
        <v>19.540939789116489</v>
      </c>
      <c r="H92" s="73">
        <f t="shared" si="8"/>
        <v>0.15932460671112506</v>
      </c>
      <c r="I92" s="73">
        <f t="shared" si="5"/>
        <v>3.932460671112506E-2</v>
      </c>
      <c r="J92" s="73">
        <f t="shared" si="9"/>
        <v>20.696912265138028</v>
      </c>
      <c r="K92" s="73">
        <f t="shared" si="10"/>
        <v>0.78814460141660603</v>
      </c>
      <c r="M92" s="56"/>
      <c r="N92" s="57"/>
      <c r="O92" s="58" t="b">
        <f t="shared" si="11"/>
        <v>0</v>
      </c>
      <c r="T92" s="85">
        <f>$U$37-$B$38/100</f>
        <v>0.1158696</v>
      </c>
      <c r="U92" s="28">
        <f>$X$37</f>
        <v>0</v>
      </c>
    </row>
    <row r="93" spans="5:21" ht="15" x14ac:dyDescent="0.2">
      <c r="E93" s="72">
        <v>1.00000000000001</v>
      </c>
      <c r="F93" s="73">
        <f t="shared" si="6"/>
        <v>4.3948140308199178E-2</v>
      </c>
      <c r="G93" s="73">
        <f t="shared" si="7"/>
        <v>16.321964908830235</v>
      </c>
      <c r="H93" s="73">
        <f t="shared" si="8"/>
        <v>0.16214871393433794</v>
      </c>
      <c r="I93" s="73">
        <f t="shared" si="5"/>
        <v>4.2148713934337945E-2</v>
      </c>
      <c r="J93" s="73">
        <f t="shared" si="9"/>
        <v>16.986421584010181</v>
      </c>
      <c r="K93" s="73">
        <f t="shared" si="10"/>
        <v>0.84134474606854548</v>
      </c>
      <c r="M93" s="56"/>
      <c r="N93" s="57"/>
      <c r="O93" s="58" t="b">
        <f t="shared" si="11"/>
        <v>0</v>
      </c>
      <c r="T93" s="85">
        <f>$U$37+$B$38/100</f>
        <v>0.11597040000000002</v>
      </c>
      <c r="U93" s="28">
        <f>$X$38</f>
        <v>0</v>
      </c>
    </row>
    <row r="94" spans="5:21" ht="15" x14ac:dyDescent="0.2">
      <c r="E94" s="72">
        <v>1.2000000000000099</v>
      </c>
      <c r="F94" s="73">
        <f t="shared" si="6"/>
        <v>4.6913110835592409E-2</v>
      </c>
      <c r="G94" s="73">
        <f t="shared" si="7"/>
        <v>13.098683659020171</v>
      </c>
      <c r="H94" s="73">
        <f t="shared" si="8"/>
        <v>0.16502287985076111</v>
      </c>
      <c r="I94" s="73">
        <f t="shared" si="5"/>
        <v>4.5022879850761116E-2</v>
      </c>
      <c r="J94" s="73">
        <f t="shared" si="9"/>
        <v>13.394498539317889</v>
      </c>
      <c r="K94" s="73">
        <f t="shared" si="10"/>
        <v>0.88493032977829378</v>
      </c>
      <c r="M94" s="56"/>
      <c r="N94" s="57"/>
      <c r="O94" s="58" t="b">
        <f t="shared" si="11"/>
        <v>0</v>
      </c>
      <c r="T94" s="85">
        <f>$U$38-$B$38/100</f>
        <v>0.12090960000000001</v>
      </c>
      <c r="U94" s="28">
        <f>$X$38</f>
        <v>0</v>
      </c>
    </row>
    <row r="95" spans="5:21" ht="15" x14ac:dyDescent="0.2">
      <c r="E95" s="72">
        <v>1.4000000000000099</v>
      </c>
      <c r="F95" s="73">
        <f t="shared" si="6"/>
        <v>4.9878081362985646E-2</v>
      </c>
      <c r="G95" s="73">
        <f t="shared" si="7"/>
        <v>10.099760807226737</v>
      </c>
      <c r="H95" s="73">
        <f t="shared" si="8"/>
        <v>0.16794799177541764</v>
      </c>
      <c r="I95" s="73">
        <f t="shared" si="5"/>
        <v>4.7947991775417642E-2</v>
      </c>
      <c r="J95" s="73">
        <f t="shared" si="9"/>
        <v>10.147971539874611</v>
      </c>
      <c r="K95" s="73">
        <f t="shared" si="10"/>
        <v>0.9192433407662306</v>
      </c>
      <c r="M95" s="56"/>
      <c r="N95" s="57"/>
      <c r="O95" s="58" t="b">
        <f t="shared" si="11"/>
        <v>0</v>
      </c>
      <c r="T95" s="85">
        <f>$U$38+$B$38/100</f>
        <v>0.12101040000000002</v>
      </c>
      <c r="U95" s="28">
        <f>$X$39</f>
        <v>2.7179821700369646</v>
      </c>
    </row>
    <row r="96" spans="5:21" ht="15" x14ac:dyDescent="0.2">
      <c r="E96" s="72">
        <v>1.6000000000000101</v>
      </c>
      <c r="F96" s="73">
        <f t="shared" si="6"/>
        <v>5.2843051890378877E-2</v>
      </c>
      <c r="G96" s="73">
        <f t="shared" si="7"/>
        <v>7.4820868305206467</v>
      </c>
      <c r="H96" s="73">
        <f t="shared" si="8"/>
        <v>0.17092495275142694</v>
      </c>
      <c r="I96" s="73">
        <f t="shared" si="5"/>
        <v>5.0924952751426944E-2</v>
      </c>
      <c r="J96" s="73">
        <f t="shared" si="9"/>
        <v>7.3868663705254214</v>
      </c>
      <c r="K96" s="73">
        <f t="shared" si="10"/>
        <v>0.945200708300443</v>
      </c>
      <c r="M96" s="56"/>
      <c r="N96" s="57"/>
      <c r="O96" s="58" t="b">
        <f t="shared" si="11"/>
        <v>0</v>
      </c>
      <c r="T96" s="85">
        <f>$U$39-$B$38/100</f>
        <v>0.12594959999999999</v>
      </c>
      <c r="U96" s="28">
        <f>$X$39</f>
        <v>2.7179821700369646</v>
      </c>
    </row>
    <row r="97" spans="5:21" ht="15" x14ac:dyDescent="0.2">
      <c r="E97" s="72">
        <v>1.80000000000001</v>
      </c>
      <c r="F97" s="73">
        <f t="shared" si="6"/>
        <v>5.5808022417772107E-2</v>
      </c>
      <c r="G97" s="73">
        <f t="shared" si="7"/>
        <v>5.3255273582975429</v>
      </c>
      <c r="H97" s="73">
        <f t="shared" si="8"/>
        <v>0.17395468182879312</v>
      </c>
      <c r="I97" s="73">
        <f t="shared" si="5"/>
        <v>5.3954681828793122E-2</v>
      </c>
      <c r="J97" s="73">
        <f t="shared" si="9"/>
        <v>5.1661791870162048</v>
      </c>
      <c r="K97" s="73">
        <f t="shared" si="10"/>
        <v>0.96406968088707501</v>
      </c>
      <c r="M97" s="56"/>
      <c r="N97" s="57"/>
      <c r="O97" s="58" t="b">
        <f t="shared" si="11"/>
        <v>0</v>
      </c>
      <c r="T97" s="85">
        <f>$U$39+$B$38/100</f>
        <v>0.12605040000000001</v>
      </c>
      <c r="U97" s="28">
        <f>$X$40</f>
        <v>0</v>
      </c>
    </row>
    <row r="98" spans="5:21" ht="15" x14ac:dyDescent="0.2">
      <c r="E98" s="72">
        <v>2.0000000000000102</v>
      </c>
      <c r="F98" s="73">
        <f t="shared" si="6"/>
        <v>5.8772992945165345E-2</v>
      </c>
      <c r="G98" s="73">
        <f t="shared" si="7"/>
        <v>3.6419226440443007</v>
      </c>
      <c r="H98" s="73">
        <f t="shared" si="8"/>
        <v>0.17703811434813471</v>
      </c>
      <c r="I98" s="73">
        <f t="shared" si="5"/>
        <v>5.7038114348134716E-2</v>
      </c>
      <c r="J98" s="73">
        <f t="shared" si="9"/>
        <v>3.4714179834268379</v>
      </c>
      <c r="K98" s="73">
        <f t="shared" si="10"/>
        <v>0.97724986805182135</v>
      </c>
      <c r="M98" s="56"/>
      <c r="N98" s="57"/>
      <c r="O98" s="58" t="b">
        <f t="shared" si="11"/>
        <v>0</v>
      </c>
    </row>
    <row r="99" spans="5:21" ht="15" x14ac:dyDescent="0.2">
      <c r="E99" s="72">
        <v>2.2000000000000099</v>
      </c>
      <c r="F99" s="73">
        <f t="shared" si="6"/>
        <v>6.1737963472558569E-2</v>
      </c>
      <c r="G99" s="73">
        <f t="shared" si="7"/>
        <v>2.3929136912817466</v>
      </c>
      <c r="H99" s="73">
        <f t="shared" si="8"/>
        <v>0.18017620222944403</v>
      </c>
      <c r="I99" s="73">
        <f t="shared" si="5"/>
        <v>6.0176202229444031E-2</v>
      </c>
      <c r="J99" s="73">
        <f t="shared" si="9"/>
        <v>2.2411585065273933</v>
      </c>
      <c r="K99" s="73">
        <f t="shared" si="10"/>
        <v>0.98609655248650174</v>
      </c>
      <c r="M99" s="56"/>
      <c r="N99" s="57"/>
      <c r="O99" s="58" t="b">
        <f t="shared" si="11"/>
        <v>0</v>
      </c>
    </row>
    <row r="100" spans="5:21" ht="15" x14ac:dyDescent="0.2">
      <c r="E100" s="72">
        <v>2.4000000000000101</v>
      </c>
      <c r="F100" s="73">
        <f t="shared" si="6"/>
        <v>6.4702933999951806E-2</v>
      </c>
      <c r="G100" s="73">
        <f t="shared" si="7"/>
        <v>1.5106072784157725</v>
      </c>
      <c r="H100" s="73">
        <f t="shared" si="8"/>
        <v>0.18336991426596466</v>
      </c>
      <c r="I100" s="73">
        <f t="shared" si="5"/>
        <v>6.3369914265964666E-2</v>
      </c>
      <c r="J100" s="73">
        <f t="shared" si="9"/>
        <v>1.390165345858666</v>
      </c>
      <c r="K100" s="73">
        <f t="shared" si="10"/>
        <v>0.99180246407540407</v>
      </c>
      <c r="M100" s="56"/>
      <c r="N100" s="57"/>
      <c r="O100" s="58" t="b">
        <f t="shared" si="11"/>
        <v>0</v>
      </c>
    </row>
    <row r="101" spans="5:21" ht="15" x14ac:dyDescent="0.2">
      <c r="E101" s="72">
        <v>2.6000000000000099</v>
      </c>
      <c r="F101" s="73">
        <f t="shared" si="6"/>
        <v>6.766790452734503E-2</v>
      </c>
      <c r="G101" s="73">
        <f t="shared" si="7"/>
        <v>0.91622962914422246</v>
      </c>
      <c r="H101" s="73">
        <f t="shared" si="8"/>
        <v>0.18662023642327816</v>
      </c>
      <c r="I101" s="73">
        <f t="shared" si="5"/>
        <v>6.6620236423278162E-2</v>
      </c>
      <c r="J101" s="73">
        <f t="shared" si="9"/>
        <v>0.82849246679695721</v>
      </c>
      <c r="K101" s="73">
        <f t="shared" si="10"/>
        <v>0.99533881197628138</v>
      </c>
      <c r="M101" s="56"/>
      <c r="N101" s="57"/>
      <c r="O101" s="58" t="b">
        <f t="shared" si="11"/>
        <v>0</v>
      </c>
    </row>
    <row r="102" spans="5:21" ht="15" x14ac:dyDescent="0.2">
      <c r="E102" s="72">
        <v>2.80000000000001</v>
      </c>
      <c r="F102" s="73">
        <f t="shared" si="6"/>
        <v>7.0632875054738267E-2</v>
      </c>
      <c r="G102" s="73">
        <f t="shared" si="7"/>
        <v>0.5339312151570631</v>
      </c>
      <c r="H102" s="73">
        <f t="shared" si="8"/>
        <v>0.18992817214369237</v>
      </c>
      <c r="I102" s="73">
        <f t="shared" si="5"/>
        <v>6.9928172143692374E-2</v>
      </c>
      <c r="J102" s="73">
        <f t="shared" si="9"/>
        <v>0.47439367529408949</v>
      </c>
      <c r="K102" s="73">
        <f t="shared" si="10"/>
        <v>0.99744486966957213</v>
      </c>
      <c r="M102" s="56"/>
      <c r="N102" s="57"/>
      <c r="O102" s="58" t="b">
        <f t="shared" si="11"/>
        <v>0</v>
      </c>
    </row>
    <row r="103" spans="5:21" ht="15" x14ac:dyDescent="0.2">
      <c r="E103" s="72">
        <v>3.0000000000000102</v>
      </c>
      <c r="F103" s="73">
        <f t="shared" si="6"/>
        <v>7.3597845582131491E-2</v>
      </c>
      <c r="G103" s="73">
        <f t="shared" si="7"/>
        <v>0.29894721522471962</v>
      </c>
      <c r="H103" s="73">
        <f t="shared" si="8"/>
        <v>0.1932947426560247</v>
      </c>
      <c r="I103" s="73">
        <f t="shared" si="5"/>
        <v>7.3294742656024703E-2</v>
      </c>
      <c r="J103" s="73">
        <f t="shared" si="9"/>
        <v>0.26098613594393671</v>
      </c>
      <c r="K103" s="73">
        <f t="shared" si="10"/>
        <v>0.9986501019683699</v>
      </c>
      <c r="M103" s="56"/>
      <c r="N103" s="57"/>
      <c r="O103" s="58" t="b">
        <f t="shared" si="11"/>
        <v>0</v>
      </c>
    </row>
    <row r="104" spans="5:21" ht="15" x14ac:dyDescent="0.2">
      <c r="E104" s="72">
        <v>3.2000000000000099</v>
      </c>
      <c r="F104" s="73">
        <f t="shared" si="6"/>
        <v>7.6562816109524728E-2</v>
      </c>
      <c r="G104" s="73">
        <f t="shared" si="7"/>
        <v>0.16081699156455548</v>
      </c>
      <c r="H104" s="73">
        <f t="shared" si="8"/>
        <v>0.19672098729087706</v>
      </c>
      <c r="I104" s="73">
        <f t="shared" si="5"/>
        <v>7.6720987290877063E-2</v>
      </c>
      <c r="J104" s="73">
        <f t="shared" si="9"/>
        <v>0.13795079426306811</v>
      </c>
      <c r="K104" s="73">
        <f t="shared" si="10"/>
        <v>0.99931286206208414</v>
      </c>
      <c r="M104" s="56"/>
      <c r="N104" s="57"/>
      <c r="O104" s="58" t="b">
        <f t="shared" si="11"/>
        <v>0</v>
      </c>
    </row>
    <row r="105" spans="5:21" ht="15" x14ac:dyDescent="0.2">
      <c r="E105" s="72">
        <v>3.4000000000000101</v>
      </c>
      <c r="F105" s="73">
        <f t="shared" si="6"/>
        <v>7.9527786636917952E-2</v>
      </c>
      <c r="G105" s="73">
        <f t="shared" si="7"/>
        <v>8.3118476699080748E-2</v>
      </c>
      <c r="H105" s="73">
        <f t="shared" si="8"/>
        <v>0.20020796380149877</v>
      </c>
      <c r="I105" s="73">
        <f t="shared" si="5"/>
        <v>8.0207963801498777E-2</v>
      </c>
      <c r="J105" s="73">
        <f t="shared" si="9"/>
        <v>7.0058235339185537E-2</v>
      </c>
      <c r="K105" s="73">
        <f t="shared" si="10"/>
        <v>0.99966307073432314</v>
      </c>
      <c r="M105" s="56"/>
      <c r="N105" s="57"/>
      <c r="O105" s="58" t="b">
        <f t="shared" si="11"/>
        <v>0</v>
      </c>
    </row>
    <row r="106" spans="5:21" ht="15" x14ac:dyDescent="0.2">
      <c r="E106" s="72">
        <v>3.6000000000000099</v>
      </c>
      <c r="F106" s="73">
        <f t="shared" si="6"/>
        <v>8.249275716431119E-2</v>
      </c>
      <c r="G106" s="73">
        <f t="shared" si="7"/>
        <v>4.1275414002292087E-2</v>
      </c>
      <c r="H106" s="73">
        <f t="shared" si="8"/>
        <v>0.20375674869033708</v>
      </c>
      <c r="I106" s="73">
        <f t="shared" si="5"/>
        <v>8.3756748690337085E-2</v>
      </c>
      <c r="J106" s="73">
        <f t="shared" si="9"/>
        <v>3.4183962486464672E-2</v>
      </c>
      <c r="K106" s="73">
        <f t="shared" si="10"/>
        <v>0.99984089140984245</v>
      </c>
      <c r="M106" s="56"/>
      <c r="N106" s="57"/>
      <c r="O106" s="58" t="b">
        <f t="shared" si="11"/>
        <v>0</v>
      </c>
    </row>
    <row r="107" spans="5:21" ht="15" x14ac:dyDescent="0.2">
      <c r="E107" s="72">
        <v>3.80000000000001</v>
      </c>
      <c r="F107" s="73">
        <f t="shared" si="6"/>
        <v>8.5457727691704413E-2</v>
      </c>
      <c r="G107" s="73">
        <f t="shared" si="7"/>
        <v>1.9693074389385286E-2</v>
      </c>
      <c r="H107" s="73">
        <f t="shared" si="8"/>
        <v>0.20736843754137618</v>
      </c>
      <c r="I107" s="73">
        <f t="shared" si="5"/>
        <v>8.7368437541376187E-2</v>
      </c>
      <c r="J107" s="73">
        <f t="shared" si="9"/>
        <v>1.6025582831406388E-2</v>
      </c>
      <c r="K107" s="73">
        <f t="shared" si="10"/>
        <v>0.99992765195607491</v>
      </c>
      <c r="M107" s="56"/>
      <c r="N107" s="57"/>
      <c r="O107" s="58" t="b">
        <f t="shared" si="11"/>
        <v>0</v>
      </c>
    </row>
    <row r="108" spans="5:21" ht="15" x14ac:dyDescent="0.2">
      <c r="E108" s="72">
        <v>4.0000000000000098</v>
      </c>
      <c r="F108" s="73">
        <f t="shared" si="6"/>
        <v>8.8422698219097651E-2</v>
      </c>
      <c r="G108" s="73">
        <f t="shared" si="7"/>
        <v>9.0274236811751177E-3</v>
      </c>
      <c r="H108" s="73">
        <f t="shared" si="8"/>
        <v>0.21104414535836633</v>
      </c>
      <c r="I108" s="73">
        <f t="shared" si="5"/>
        <v>9.104414535836633E-2</v>
      </c>
      <c r="J108" s="73">
        <f t="shared" si="9"/>
        <v>7.2182760028194669E-3</v>
      </c>
      <c r="K108" s="73">
        <f t="shared" si="10"/>
        <v>0.99996832875816688</v>
      </c>
      <c r="M108" s="56"/>
      <c r="N108" s="57"/>
      <c r="O108" s="58" t="b">
        <f t="shared" si="11"/>
        <v>0</v>
      </c>
    </row>
    <row r="109" spans="5:21" ht="15" x14ac:dyDescent="0.2">
      <c r="E109" s="72">
        <v>4.2000000000000099</v>
      </c>
      <c r="F109" s="73">
        <f t="shared" si="6"/>
        <v>9.1387668746490874E-2</v>
      </c>
      <c r="G109" s="73">
        <f t="shared" si="7"/>
        <v>3.9759631478266007E-3</v>
      </c>
      <c r="H109" s="73">
        <f t="shared" si="8"/>
        <v>0.21478500690904939</v>
      </c>
      <c r="I109" s="73">
        <f t="shared" si="5"/>
        <v>9.4785006909049396E-2</v>
      </c>
      <c r="J109" s="73">
        <f t="shared" si="9"/>
        <v>3.1237865849223817E-3</v>
      </c>
      <c r="K109" s="73">
        <f t="shared" si="10"/>
        <v>0.9999866542509841</v>
      </c>
      <c r="M109" s="56"/>
      <c r="N109" s="57"/>
      <c r="O109" s="58" t="b">
        <f t="shared" si="11"/>
        <v>0</v>
      </c>
    </row>
    <row r="110" spans="5:21" ht="15" x14ac:dyDescent="0.2">
      <c r="E110" s="72">
        <v>4.4000000000000101</v>
      </c>
      <c r="F110" s="73">
        <f t="shared" si="6"/>
        <v>9.4352639273884112E-2</v>
      </c>
      <c r="G110" s="73">
        <f t="shared" si="7"/>
        <v>1.6824768448529309E-3</v>
      </c>
      <c r="H110" s="73">
        <f t="shared" si="8"/>
        <v>0.21859217707548495</v>
      </c>
      <c r="I110" s="73">
        <f t="shared" si="5"/>
        <v>9.8592177075484955E-2</v>
      </c>
      <c r="J110" s="73">
        <f t="shared" si="9"/>
        <v>1.2988453614483655E-3</v>
      </c>
      <c r="K110" s="73">
        <f t="shared" si="10"/>
        <v>0.99999458745609227</v>
      </c>
      <c r="M110" s="56"/>
      <c r="N110" s="57"/>
      <c r="O110" s="58" t="b">
        <f t="shared" si="11"/>
        <v>0</v>
      </c>
    </row>
    <row r="111" spans="5:21" ht="15" x14ac:dyDescent="0.2">
      <c r="E111" s="72">
        <v>4.6000000000000103</v>
      </c>
      <c r="F111" s="73">
        <f t="shared" si="6"/>
        <v>9.7317609801277349E-2</v>
      </c>
      <c r="G111" s="73">
        <f t="shared" si="7"/>
        <v>6.8404403833329018E-4</v>
      </c>
      <c r="H111" s="73">
        <f t="shared" si="8"/>
        <v>0.22246683121058661</v>
      </c>
      <c r="I111" s="73">
        <f t="shared" si="5"/>
        <v>0.10246683121058661</v>
      </c>
      <c r="J111" s="73">
        <f t="shared" si="9"/>
        <v>5.1887382228257514E-4</v>
      </c>
      <c r="K111" s="73">
        <f t="shared" si="10"/>
        <v>0.9999978875452975</v>
      </c>
      <c r="M111" s="56"/>
      <c r="N111" s="57"/>
      <c r="O111" s="58" t="b">
        <f t="shared" si="11"/>
        <v>0</v>
      </c>
    </row>
    <row r="112" spans="5:21" ht="15" x14ac:dyDescent="0.2">
      <c r="E112" s="72">
        <v>4.8000000000000096</v>
      </c>
      <c r="F112" s="73">
        <f t="shared" si="6"/>
        <v>0.10028258032867056</v>
      </c>
      <c r="G112" s="73">
        <f t="shared" si="7"/>
        <v>2.6720664198403492E-4</v>
      </c>
      <c r="H112" s="73">
        <f t="shared" si="8"/>
        <v>0.22641016550097792</v>
      </c>
      <c r="I112" s="73">
        <f t="shared" si="5"/>
        <v>0.10641016550097793</v>
      </c>
      <c r="J112" s="73">
        <f t="shared" si="9"/>
        <v>1.9915641240074737E-4</v>
      </c>
      <c r="K112" s="73">
        <f t="shared" si="10"/>
        <v>0.99999920667184805</v>
      </c>
      <c r="M112" s="56"/>
      <c r="N112" s="57"/>
      <c r="O112" s="58" t="b">
        <f t="shared" si="11"/>
        <v>0</v>
      </c>
    </row>
    <row r="113" spans="5:15" ht="15" x14ac:dyDescent="0.2">
      <c r="E113" s="72">
        <v>5</v>
      </c>
      <c r="F113" s="73">
        <f t="shared" si="6"/>
        <v>0.10324755085606366</v>
      </c>
      <c r="G113" s="73">
        <f t="shared" si="7"/>
        <v>1.0028561842342526E-4</v>
      </c>
      <c r="H113" s="73">
        <f t="shared" si="8"/>
        <v>0.2304233973362802</v>
      </c>
      <c r="I113" s="73">
        <f t="shared" si="5"/>
        <v>0.1104233973362802</v>
      </c>
      <c r="J113" s="73">
        <f t="shared" si="9"/>
        <v>7.3443784679946719E-5</v>
      </c>
      <c r="K113" s="73">
        <f t="shared" si="10"/>
        <v>0.99999971334842808</v>
      </c>
      <c r="M113" s="56"/>
      <c r="N113" s="57"/>
      <c r="O113" s="58" t="b">
        <f t="shared" si="11"/>
        <v>0</v>
      </c>
    </row>
    <row r="114" spans="5:15" ht="15" x14ac:dyDescent="0.2">
      <c r="M114" s="56"/>
      <c r="N114" s="57"/>
      <c r="O114" s="58" t="b">
        <f t="shared" si="11"/>
        <v>0</v>
      </c>
    </row>
    <row r="115" spans="5:15" ht="15" x14ac:dyDescent="0.2">
      <c r="M115" s="56"/>
      <c r="N115" s="57"/>
      <c r="O115" s="58" t="b">
        <f t="shared" si="11"/>
        <v>0</v>
      </c>
    </row>
    <row r="116" spans="5:15" ht="15" x14ac:dyDescent="0.2">
      <c r="M116" s="56"/>
      <c r="N116" s="57"/>
      <c r="O116" s="58" t="b">
        <f t="shared" si="11"/>
        <v>0</v>
      </c>
    </row>
    <row r="117" spans="5:15" ht="15.75" x14ac:dyDescent="0.25">
      <c r="F117" s="10" t="s">
        <v>42</v>
      </c>
      <c r="G117" s="10"/>
      <c r="M117" s="56"/>
      <c r="N117" s="57"/>
      <c r="O117" s="58" t="b">
        <f t="shared" si="11"/>
        <v>0</v>
      </c>
    </row>
    <row r="118" spans="5:15" ht="15" x14ac:dyDescent="0.2">
      <c r="F118" s="69" t="s">
        <v>37</v>
      </c>
      <c r="G118" s="90">
        <f>CORREL($N$3:$N$252,$M$3:$M$252)</f>
        <v>0.30144329320543461</v>
      </c>
      <c r="H118" s="11"/>
      <c r="I118" s="11"/>
      <c r="J118" s="11"/>
      <c r="M118" s="56"/>
      <c r="N118" s="57"/>
      <c r="O118" s="58" t="b">
        <f t="shared" si="11"/>
        <v>0</v>
      </c>
    </row>
    <row r="119" spans="5:15" ht="15" x14ac:dyDescent="0.2">
      <c r="F119" s="69" t="s">
        <v>38</v>
      </c>
      <c r="G119" s="79">
        <f>INTERCEPT($N$3:$N$252,$M$3:$M$252)</f>
        <v>-5.5830440376706938E-2</v>
      </c>
      <c r="H119" s="11"/>
      <c r="I119" s="11"/>
      <c r="J119" s="11"/>
      <c r="M119" s="56"/>
      <c r="N119" s="57"/>
      <c r="O119" s="58" t="b">
        <f t="shared" si="11"/>
        <v>0</v>
      </c>
    </row>
    <row r="120" spans="5:15" ht="15" x14ac:dyDescent="0.2">
      <c r="F120" s="69" t="s">
        <v>39</v>
      </c>
      <c r="G120" s="79">
        <f>SLOPE($N$3:$N$252,$M$3:$M$252)</f>
        <v>2.1675505212992137E-6</v>
      </c>
      <c r="H120" s="69" t="s">
        <v>50</v>
      </c>
      <c r="I120" s="79">
        <f>IF($B$9&gt;3,INDEX(XX!$C$4:$C$150,$B$9))</f>
        <v>0.22570000000000001</v>
      </c>
      <c r="J120" s="79">
        <f>IF($B$9&gt;3,INDEX(XX!$D$4:$D$150,$B$9))</f>
        <v>0.29380000000000001</v>
      </c>
      <c r="M120" s="56"/>
      <c r="N120" s="57"/>
      <c r="O120" s="58" t="b">
        <f t="shared" si="11"/>
        <v>0</v>
      </c>
    </row>
    <row r="121" spans="5:15" ht="15" x14ac:dyDescent="0.2">
      <c r="F121" s="11"/>
      <c r="G121" s="91"/>
      <c r="H121" s="69" t="s">
        <v>51</v>
      </c>
      <c r="I121" s="69" t="s">
        <v>52</v>
      </c>
      <c r="J121" s="69" t="s">
        <v>53</v>
      </c>
      <c r="M121" s="56"/>
      <c r="N121" s="57"/>
      <c r="O121" s="58" t="b">
        <f t="shared" si="11"/>
        <v>0</v>
      </c>
    </row>
    <row r="122" spans="5:15" ht="15" x14ac:dyDescent="0.2">
      <c r="F122" s="69" t="s">
        <v>40</v>
      </c>
      <c r="G122" s="92">
        <f>MIN($N$3:$N$252)</f>
        <v>0.01</v>
      </c>
      <c r="H122" s="11"/>
      <c r="I122" s="79">
        <f>IF((ABS($G$118)&gt;$I$120)*AND(ABS($G$118)&lt;$J$120),G$119+G$120*G122,0)</f>
        <v>0</v>
      </c>
      <c r="J122" s="79">
        <f>IF((ABS($G$118)&gt;$J$120),G$119+G$120*G122,0)</f>
        <v>-5.5830418701201728E-2</v>
      </c>
      <c r="M122" s="56"/>
      <c r="N122" s="57"/>
      <c r="O122" s="58" t="b">
        <f t="shared" si="11"/>
        <v>0</v>
      </c>
    </row>
    <row r="123" spans="5:15" ht="15" x14ac:dyDescent="0.2">
      <c r="F123" s="69" t="s">
        <v>41</v>
      </c>
      <c r="G123" s="92">
        <f>MAX($M$3:$M$252)</f>
        <v>42699</v>
      </c>
      <c r="H123" s="11"/>
      <c r="I123" s="79">
        <f>IF((ABS($G$118)&gt;$I$120)*AND(ABS($G$118)&lt;$J$120),G$119+G$120*G123,0)</f>
        <v>0</v>
      </c>
      <c r="J123" s="79">
        <f>IF((ABS($G$118)&gt;$J$120),G$119+G$120*G123,0)</f>
        <v>3.6721799332248187E-2</v>
      </c>
      <c r="M123" s="56"/>
      <c r="N123" s="57"/>
      <c r="O123" s="58" t="b">
        <f t="shared" si="11"/>
        <v>0</v>
      </c>
    </row>
    <row r="124" spans="5:15" ht="15" x14ac:dyDescent="0.2">
      <c r="M124" s="56"/>
      <c r="N124" s="57"/>
      <c r="O124" s="58" t="b">
        <f t="shared" si="11"/>
        <v>0</v>
      </c>
    </row>
    <row r="125" spans="5:15" ht="15" x14ac:dyDescent="0.2">
      <c r="M125" s="56"/>
      <c r="N125" s="57"/>
      <c r="O125" s="58" t="b">
        <f t="shared" si="11"/>
        <v>0</v>
      </c>
    </row>
    <row r="126" spans="5:15" ht="15" x14ac:dyDescent="0.2">
      <c r="M126" s="56"/>
      <c r="N126" s="57"/>
      <c r="O126" s="58" t="b">
        <f t="shared" si="11"/>
        <v>0</v>
      </c>
    </row>
    <row r="127" spans="5:15" ht="15" x14ac:dyDescent="0.2">
      <c r="M127" s="56"/>
      <c r="N127" s="57"/>
      <c r="O127" s="58" t="b">
        <f t="shared" si="11"/>
        <v>0</v>
      </c>
    </row>
    <row r="128" spans="5:15" ht="15" x14ac:dyDescent="0.2">
      <c r="M128" s="56"/>
      <c r="N128" s="57"/>
      <c r="O128" s="58" t="b">
        <f t="shared" si="11"/>
        <v>0</v>
      </c>
    </row>
    <row r="129" spans="13:15" ht="15" x14ac:dyDescent="0.2">
      <c r="M129" s="56"/>
      <c r="N129" s="57"/>
      <c r="O129" s="58" t="b">
        <f t="shared" si="11"/>
        <v>0</v>
      </c>
    </row>
    <row r="130" spans="13:15" ht="15" x14ac:dyDescent="0.2">
      <c r="M130" s="56"/>
      <c r="N130" s="57"/>
      <c r="O130" s="58" t="b">
        <f t="shared" si="11"/>
        <v>0</v>
      </c>
    </row>
    <row r="131" spans="13:15" ht="15" x14ac:dyDescent="0.2">
      <c r="M131" s="56"/>
      <c r="N131" s="57"/>
      <c r="O131" s="58" t="b">
        <f t="shared" ref="O131:O194" si="12">IF($N131&gt;0,LN($N131+$B$26))</f>
        <v>0</v>
      </c>
    </row>
    <row r="132" spans="13:15" ht="15" x14ac:dyDescent="0.2">
      <c r="M132" s="56"/>
      <c r="N132" s="57"/>
      <c r="O132" s="58" t="b">
        <f t="shared" si="12"/>
        <v>0</v>
      </c>
    </row>
    <row r="133" spans="13:15" ht="15" x14ac:dyDescent="0.2">
      <c r="M133" s="56"/>
      <c r="N133" s="57"/>
      <c r="O133" s="58" t="b">
        <f t="shared" si="12"/>
        <v>0</v>
      </c>
    </row>
    <row r="134" spans="13:15" ht="15" x14ac:dyDescent="0.2">
      <c r="M134" s="56"/>
      <c r="N134" s="57"/>
      <c r="O134" s="58" t="b">
        <f t="shared" si="12"/>
        <v>0</v>
      </c>
    </row>
    <row r="135" spans="13:15" ht="15" x14ac:dyDescent="0.2">
      <c r="M135" s="56"/>
      <c r="N135" s="57"/>
      <c r="O135" s="58" t="b">
        <f t="shared" si="12"/>
        <v>0</v>
      </c>
    </row>
    <row r="136" spans="13:15" ht="15" x14ac:dyDescent="0.2">
      <c r="M136" s="56"/>
      <c r="N136" s="57"/>
      <c r="O136" s="58" t="b">
        <f t="shared" si="12"/>
        <v>0</v>
      </c>
    </row>
    <row r="137" spans="13:15" ht="15" x14ac:dyDescent="0.2">
      <c r="M137" s="56"/>
      <c r="N137" s="57"/>
      <c r="O137" s="58" t="b">
        <f t="shared" si="12"/>
        <v>0</v>
      </c>
    </row>
    <row r="138" spans="13:15" ht="15" x14ac:dyDescent="0.2">
      <c r="M138" s="56"/>
      <c r="N138" s="57"/>
      <c r="O138" s="58" t="b">
        <f t="shared" si="12"/>
        <v>0</v>
      </c>
    </row>
    <row r="139" spans="13:15" ht="15" x14ac:dyDescent="0.2">
      <c r="M139" s="56"/>
      <c r="N139" s="57"/>
      <c r="O139" s="58" t="b">
        <f t="shared" si="12"/>
        <v>0</v>
      </c>
    </row>
    <row r="140" spans="13:15" ht="15" x14ac:dyDescent="0.2">
      <c r="M140" s="56"/>
      <c r="N140" s="57"/>
      <c r="O140" s="58" t="b">
        <f t="shared" si="12"/>
        <v>0</v>
      </c>
    </row>
    <row r="141" spans="13:15" ht="15" x14ac:dyDescent="0.2">
      <c r="M141" s="56"/>
      <c r="N141" s="57"/>
      <c r="O141" s="58" t="b">
        <f t="shared" si="12"/>
        <v>0</v>
      </c>
    </row>
    <row r="142" spans="13:15" ht="15" x14ac:dyDescent="0.2">
      <c r="M142" s="56"/>
      <c r="N142" s="57"/>
      <c r="O142" s="58" t="b">
        <f t="shared" si="12"/>
        <v>0</v>
      </c>
    </row>
    <row r="143" spans="13:15" ht="15" x14ac:dyDescent="0.2">
      <c r="M143" s="56"/>
      <c r="N143" s="57"/>
      <c r="O143" s="58" t="b">
        <f t="shared" si="12"/>
        <v>0</v>
      </c>
    </row>
    <row r="144" spans="13:15" ht="15" x14ac:dyDescent="0.2">
      <c r="M144" s="56"/>
      <c r="N144" s="57"/>
      <c r="O144" s="58" t="b">
        <f t="shared" si="12"/>
        <v>0</v>
      </c>
    </row>
    <row r="145" spans="13:15" ht="15" x14ac:dyDescent="0.2">
      <c r="M145" s="56"/>
      <c r="N145" s="57"/>
      <c r="O145" s="58" t="b">
        <f t="shared" si="12"/>
        <v>0</v>
      </c>
    </row>
    <row r="146" spans="13:15" ht="15" x14ac:dyDescent="0.2">
      <c r="M146" s="56"/>
      <c r="N146" s="57"/>
      <c r="O146" s="58" t="b">
        <f t="shared" si="12"/>
        <v>0</v>
      </c>
    </row>
    <row r="147" spans="13:15" ht="15" x14ac:dyDescent="0.2">
      <c r="M147" s="56"/>
      <c r="N147" s="57"/>
      <c r="O147" s="58" t="b">
        <f t="shared" si="12"/>
        <v>0</v>
      </c>
    </row>
    <row r="148" spans="13:15" ht="15" x14ac:dyDescent="0.2">
      <c r="M148" s="56"/>
      <c r="N148" s="57"/>
      <c r="O148" s="58" t="b">
        <f t="shared" si="12"/>
        <v>0</v>
      </c>
    </row>
    <row r="149" spans="13:15" ht="15" x14ac:dyDescent="0.2">
      <c r="M149" s="56"/>
      <c r="N149" s="57"/>
      <c r="O149" s="58" t="b">
        <f t="shared" si="12"/>
        <v>0</v>
      </c>
    </row>
    <row r="150" spans="13:15" ht="15" x14ac:dyDescent="0.2">
      <c r="M150" s="56"/>
      <c r="N150" s="57"/>
      <c r="O150" s="58" t="b">
        <f t="shared" si="12"/>
        <v>0</v>
      </c>
    </row>
    <row r="151" spans="13:15" ht="15" x14ac:dyDescent="0.2">
      <c r="M151" s="56"/>
      <c r="N151" s="57"/>
      <c r="O151" s="58" t="b">
        <f t="shared" si="12"/>
        <v>0</v>
      </c>
    </row>
    <row r="152" spans="13:15" ht="15" x14ac:dyDescent="0.2">
      <c r="M152" s="56"/>
      <c r="N152" s="57"/>
      <c r="O152" s="58" t="b">
        <f t="shared" si="12"/>
        <v>0</v>
      </c>
    </row>
    <row r="153" spans="13:15" ht="15" x14ac:dyDescent="0.2">
      <c r="M153" s="56"/>
      <c r="N153" s="57"/>
      <c r="O153" s="58" t="b">
        <f t="shared" si="12"/>
        <v>0</v>
      </c>
    </row>
    <row r="154" spans="13:15" ht="15" x14ac:dyDescent="0.2">
      <c r="M154" s="56"/>
      <c r="N154" s="57"/>
      <c r="O154" s="58" t="b">
        <f t="shared" si="12"/>
        <v>0</v>
      </c>
    </row>
    <row r="155" spans="13:15" ht="15" x14ac:dyDescent="0.2">
      <c r="M155" s="56"/>
      <c r="N155" s="57"/>
      <c r="O155" s="58" t="b">
        <f t="shared" si="12"/>
        <v>0</v>
      </c>
    </row>
    <row r="156" spans="13:15" ht="15" x14ac:dyDescent="0.2">
      <c r="M156" s="56"/>
      <c r="N156" s="57"/>
      <c r="O156" s="58" t="b">
        <f t="shared" si="12"/>
        <v>0</v>
      </c>
    </row>
    <row r="157" spans="13:15" ht="15" x14ac:dyDescent="0.2">
      <c r="M157" s="56"/>
      <c r="N157" s="57"/>
      <c r="O157" s="58" t="b">
        <f t="shared" si="12"/>
        <v>0</v>
      </c>
    </row>
    <row r="158" spans="13:15" ht="15" x14ac:dyDescent="0.2">
      <c r="M158" s="56"/>
      <c r="N158" s="57"/>
      <c r="O158" s="58" t="b">
        <f t="shared" si="12"/>
        <v>0</v>
      </c>
    </row>
    <row r="159" spans="13:15" ht="15" x14ac:dyDescent="0.2">
      <c r="M159" s="56"/>
      <c r="N159" s="57"/>
      <c r="O159" s="58" t="b">
        <f t="shared" si="12"/>
        <v>0</v>
      </c>
    </row>
    <row r="160" spans="13:15" ht="15" x14ac:dyDescent="0.2">
      <c r="M160" s="56"/>
      <c r="N160" s="57"/>
      <c r="O160" s="58" t="b">
        <f t="shared" si="12"/>
        <v>0</v>
      </c>
    </row>
    <row r="161" spans="13:15" ht="15" x14ac:dyDescent="0.2">
      <c r="M161" s="56"/>
      <c r="N161" s="57"/>
      <c r="O161" s="58" t="b">
        <f t="shared" si="12"/>
        <v>0</v>
      </c>
    </row>
    <row r="162" spans="13:15" ht="15" x14ac:dyDescent="0.2">
      <c r="M162" s="56"/>
      <c r="N162" s="57"/>
      <c r="O162" s="58" t="b">
        <f t="shared" si="12"/>
        <v>0</v>
      </c>
    </row>
    <row r="163" spans="13:15" ht="15" x14ac:dyDescent="0.2">
      <c r="M163" s="56"/>
      <c r="N163" s="57"/>
      <c r="O163" s="58" t="b">
        <f t="shared" si="12"/>
        <v>0</v>
      </c>
    </row>
    <row r="164" spans="13:15" ht="15" x14ac:dyDescent="0.2">
      <c r="M164" s="56"/>
      <c r="N164" s="57"/>
      <c r="O164" s="58" t="b">
        <f t="shared" si="12"/>
        <v>0</v>
      </c>
    </row>
    <row r="165" spans="13:15" ht="15" x14ac:dyDescent="0.2">
      <c r="M165" s="56"/>
      <c r="N165" s="57"/>
      <c r="O165" s="58" t="b">
        <f t="shared" si="12"/>
        <v>0</v>
      </c>
    </row>
    <row r="166" spans="13:15" ht="15" x14ac:dyDescent="0.2">
      <c r="M166" s="56"/>
      <c r="N166" s="57"/>
      <c r="O166" s="58" t="b">
        <f t="shared" si="12"/>
        <v>0</v>
      </c>
    </row>
    <row r="167" spans="13:15" ht="15" x14ac:dyDescent="0.2">
      <c r="M167" s="56"/>
      <c r="N167" s="57"/>
      <c r="O167" s="58" t="b">
        <f t="shared" si="12"/>
        <v>0</v>
      </c>
    </row>
    <row r="168" spans="13:15" ht="15" x14ac:dyDescent="0.2">
      <c r="M168" s="56"/>
      <c r="N168" s="57"/>
      <c r="O168" s="58" t="b">
        <f t="shared" si="12"/>
        <v>0</v>
      </c>
    </row>
    <row r="169" spans="13:15" ht="15" x14ac:dyDescent="0.2">
      <c r="M169" s="56"/>
      <c r="N169" s="57"/>
      <c r="O169" s="58" t="b">
        <f t="shared" si="12"/>
        <v>0</v>
      </c>
    </row>
    <row r="170" spans="13:15" ht="15" x14ac:dyDescent="0.2">
      <c r="M170" s="56"/>
      <c r="N170" s="57"/>
      <c r="O170" s="58" t="b">
        <f t="shared" si="12"/>
        <v>0</v>
      </c>
    </row>
    <row r="171" spans="13:15" ht="15" x14ac:dyDescent="0.2">
      <c r="M171" s="56"/>
      <c r="N171" s="57"/>
      <c r="O171" s="58" t="b">
        <f t="shared" si="12"/>
        <v>0</v>
      </c>
    </row>
    <row r="172" spans="13:15" ht="15" x14ac:dyDescent="0.2">
      <c r="M172" s="56"/>
      <c r="N172" s="57"/>
      <c r="O172" s="58" t="b">
        <f t="shared" si="12"/>
        <v>0</v>
      </c>
    </row>
    <row r="173" spans="13:15" ht="15" x14ac:dyDescent="0.2">
      <c r="M173" s="56"/>
      <c r="N173" s="57"/>
      <c r="O173" s="58" t="b">
        <f t="shared" si="12"/>
        <v>0</v>
      </c>
    </row>
    <row r="174" spans="13:15" ht="15" x14ac:dyDescent="0.2">
      <c r="M174" s="56"/>
      <c r="N174" s="57"/>
      <c r="O174" s="58" t="b">
        <f t="shared" si="12"/>
        <v>0</v>
      </c>
    </row>
    <row r="175" spans="13:15" ht="15" x14ac:dyDescent="0.2">
      <c r="M175" s="56"/>
      <c r="N175" s="57"/>
      <c r="O175" s="58" t="b">
        <f t="shared" si="12"/>
        <v>0</v>
      </c>
    </row>
    <row r="176" spans="13:15" ht="15" x14ac:dyDescent="0.2">
      <c r="M176" s="56"/>
      <c r="N176" s="57"/>
      <c r="O176" s="58" t="b">
        <f t="shared" si="12"/>
        <v>0</v>
      </c>
    </row>
    <row r="177" spans="13:15" ht="15" x14ac:dyDescent="0.2">
      <c r="M177" s="56"/>
      <c r="N177" s="57"/>
      <c r="O177" s="58" t="b">
        <f t="shared" si="12"/>
        <v>0</v>
      </c>
    </row>
    <row r="178" spans="13:15" ht="15" x14ac:dyDescent="0.2">
      <c r="M178" s="56"/>
      <c r="N178" s="57"/>
      <c r="O178" s="58" t="b">
        <f t="shared" si="12"/>
        <v>0</v>
      </c>
    </row>
    <row r="179" spans="13:15" ht="15" x14ac:dyDescent="0.2">
      <c r="M179" s="56"/>
      <c r="N179" s="57"/>
      <c r="O179" s="58" t="b">
        <f t="shared" si="12"/>
        <v>0</v>
      </c>
    </row>
    <row r="180" spans="13:15" ht="15" x14ac:dyDescent="0.2">
      <c r="M180" s="56"/>
      <c r="N180" s="57"/>
      <c r="O180" s="58" t="b">
        <f t="shared" si="12"/>
        <v>0</v>
      </c>
    </row>
    <row r="181" spans="13:15" ht="15" x14ac:dyDescent="0.2">
      <c r="M181" s="56"/>
      <c r="N181" s="57"/>
      <c r="O181" s="58" t="b">
        <f t="shared" si="12"/>
        <v>0</v>
      </c>
    </row>
    <row r="182" spans="13:15" ht="15" x14ac:dyDescent="0.2">
      <c r="M182" s="56"/>
      <c r="N182" s="57"/>
      <c r="O182" s="58" t="b">
        <f t="shared" si="12"/>
        <v>0</v>
      </c>
    </row>
    <row r="183" spans="13:15" ht="15" x14ac:dyDescent="0.2">
      <c r="M183" s="56"/>
      <c r="N183" s="57"/>
      <c r="O183" s="58" t="b">
        <f t="shared" si="12"/>
        <v>0</v>
      </c>
    </row>
    <row r="184" spans="13:15" ht="15" x14ac:dyDescent="0.2">
      <c r="M184" s="56"/>
      <c r="N184" s="57"/>
      <c r="O184" s="58" t="b">
        <f t="shared" si="12"/>
        <v>0</v>
      </c>
    </row>
    <row r="185" spans="13:15" ht="15" x14ac:dyDescent="0.2">
      <c r="M185" s="56"/>
      <c r="N185" s="57"/>
      <c r="O185" s="58" t="b">
        <f t="shared" si="12"/>
        <v>0</v>
      </c>
    </row>
    <row r="186" spans="13:15" ht="15" x14ac:dyDescent="0.2">
      <c r="M186" s="56"/>
      <c r="N186" s="57"/>
      <c r="O186" s="58" t="b">
        <f t="shared" si="12"/>
        <v>0</v>
      </c>
    </row>
    <row r="187" spans="13:15" ht="15" x14ac:dyDescent="0.2">
      <c r="M187" s="56"/>
      <c r="N187" s="57"/>
      <c r="O187" s="58" t="b">
        <f t="shared" si="12"/>
        <v>0</v>
      </c>
    </row>
    <row r="188" spans="13:15" ht="15" x14ac:dyDescent="0.2">
      <c r="M188" s="56"/>
      <c r="N188" s="57"/>
      <c r="O188" s="58" t="b">
        <f t="shared" si="12"/>
        <v>0</v>
      </c>
    </row>
    <row r="189" spans="13:15" ht="15" x14ac:dyDescent="0.2">
      <c r="M189" s="56"/>
      <c r="N189" s="57"/>
      <c r="O189" s="58" t="b">
        <f t="shared" si="12"/>
        <v>0</v>
      </c>
    </row>
    <row r="190" spans="13:15" ht="15" x14ac:dyDescent="0.2">
      <c r="M190" s="56"/>
      <c r="N190" s="57"/>
      <c r="O190" s="58" t="b">
        <f t="shared" si="12"/>
        <v>0</v>
      </c>
    </row>
    <row r="191" spans="13:15" ht="15" x14ac:dyDescent="0.2">
      <c r="M191" s="56"/>
      <c r="N191" s="57"/>
      <c r="O191" s="58" t="b">
        <f t="shared" si="12"/>
        <v>0</v>
      </c>
    </row>
    <row r="192" spans="13:15" ht="15" x14ac:dyDescent="0.2">
      <c r="M192" s="56"/>
      <c r="N192" s="57"/>
      <c r="O192" s="58" t="b">
        <f t="shared" si="12"/>
        <v>0</v>
      </c>
    </row>
    <row r="193" spans="13:15" ht="15" x14ac:dyDescent="0.2">
      <c r="M193" s="56"/>
      <c r="N193" s="57"/>
      <c r="O193" s="58" t="b">
        <f t="shared" si="12"/>
        <v>0</v>
      </c>
    </row>
    <row r="194" spans="13:15" ht="15" x14ac:dyDescent="0.2">
      <c r="M194" s="56"/>
      <c r="N194" s="57"/>
      <c r="O194" s="58" t="b">
        <f t="shared" si="12"/>
        <v>0</v>
      </c>
    </row>
    <row r="195" spans="13:15" ht="15" x14ac:dyDescent="0.2">
      <c r="M195" s="56"/>
      <c r="N195" s="57"/>
      <c r="O195" s="58" t="b">
        <f t="shared" ref="O195:O252" si="13">IF($N195&gt;0,LN($N195+$B$26))</f>
        <v>0</v>
      </c>
    </row>
    <row r="196" spans="13:15" ht="15" x14ac:dyDescent="0.2">
      <c r="M196" s="56"/>
      <c r="N196" s="57"/>
      <c r="O196" s="58" t="b">
        <f t="shared" si="13"/>
        <v>0</v>
      </c>
    </row>
    <row r="197" spans="13:15" ht="15" x14ac:dyDescent="0.2">
      <c r="M197" s="56"/>
      <c r="N197" s="57"/>
      <c r="O197" s="58" t="b">
        <f t="shared" si="13"/>
        <v>0</v>
      </c>
    </row>
    <row r="198" spans="13:15" ht="15" x14ac:dyDescent="0.2">
      <c r="M198" s="56"/>
      <c r="N198" s="57"/>
      <c r="O198" s="58" t="b">
        <f t="shared" si="13"/>
        <v>0</v>
      </c>
    </row>
    <row r="199" spans="13:15" ht="15" x14ac:dyDescent="0.2">
      <c r="M199" s="56"/>
      <c r="N199" s="57"/>
      <c r="O199" s="58" t="b">
        <f t="shared" si="13"/>
        <v>0</v>
      </c>
    </row>
    <row r="200" spans="13:15" ht="15" x14ac:dyDescent="0.2">
      <c r="M200" s="56"/>
      <c r="N200" s="57"/>
      <c r="O200" s="58" t="b">
        <f t="shared" si="13"/>
        <v>0</v>
      </c>
    </row>
    <row r="201" spans="13:15" ht="15" x14ac:dyDescent="0.2">
      <c r="M201" s="56"/>
      <c r="N201" s="57"/>
      <c r="O201" s="58" t="b">
        <f t="shared" si="13"/>
        <v>0</v>
      </c>
    </row>
    <row r="202" spans="13:15" ht="15" x14ac:dyDescent="0.2">
      <c r="M202" s="56"/>
      <c r="N202" s="57"/>
      <c r="O202" s="58" t="b">
        <f t="shared" si="13"/>
        <v>0</v>
      </c>
    </row>
    <row r="203" spans="13:15" ht="15" x14ac:dyDescent="0.2">
      <c r="M203" s="56"/>
      <c r="N203" s="57"/>
      <c r="O203" s="58" t="b">
        <f t="shared" si="13"/>
        <v>0</v>
      </c>
    </row>
    <row r="204" spans="13:15" ht="15" x14ac:dyDescent="0.2">
      <c r="M204" s="56"/>
      <c r="N204" s="57"/>
      <c r="O204" s="58" t="b">
        <f t="shared" si="13"/>
        <v>0</v>
      </c>
    </row>
    <row r="205" spans="13:15" ht="15" x14ac:dyDescent="0.2">
      <c r="M205" s="56"/>
      <c r="N205" s="57"/>
      <c r="O205" s="58" t="b">
        <f t="shared" si="13"/>
        <v>0</v>
      </c>
    </row>
    <row r="206" spans="13:15" ht="15" x14ac:dyDescent="0.2">
      <c r="M206" s="56"/>
      <c r="N206" s="57"/>
      <c r="O206" s="58" t="b">
        <f t="shared" si="13"/>
        <v>0</v>
      </c>
    </row>
    <row r="207" spans="13:15" ht="15" x14ac:dyDescent="0.2">
      <c r="M207" s="56"/>
      <c r="N207" s="57"/>
      <c r="O207" s="58" t="b">
        <f t="shared" si="13"/>
        <v>0</v>
      </c>
    </row>
    <row r="208" spans="13:15" ht="15" x14ac:dyDescent="0.2">
      <c r="M208" s="56"/>
      <c r="N208" s="57"/>
      <c r="O208" s="58" t="b">
        <f t="shared" si="13"/>
        <v>0</v>
      </c>
    </row>
    <row r="209" spans="13:15" ht="15" x14ac:dyDescent="0.2">
      <c r="M209" s="56"/>
      <c r="N209" s="57"/>
      <c r="O209" s="58" t="b">
        <f t="shared" si="13"/>
        <v>0</v>
      </c>
    </row>
    <row r="210" spans="13:15" ht="15" x14ac:dyDescent="0.2">
      <c r="M210" s="56"/>
      <c r="N210" s="57"/>
      <c r="O210" s="58" t="b">
        <f t="shared" si="13"/>
        <v>0</v>
      </c>
    </row>
    <row r="211" spans="13:15" ht="15" x14ac:dyDescent="0.2">
      <c r="M211" s="56"/>
      <c r="N211" s="57"/>
      <c r="O211" s="58" t="b">
        <f t="shared" si="13"/>
        <v>0</v>
      </c>
    </row>
    <row r="212" spans="13:15" ht="15" x14ac:dyDescent="0.2">
      <c r="M212" s="56"/>
      <c r="N212" s="57"/>
      <c r="O212" s="58" t="b">
        <f t="shared" si="13"/>
        <v>0</v>
      </c>
    </row>
    <row r="213" spans="13:15" ht="15" x14ac:dyDescent="0.2">
      <c r="M213" s="56"/>
      <c r="N213" s="57"/>
      <c r="O213" s="58" t="b">
        <f t="shared" si="13"/>
        <v>0</v>
      </c>
    </row>
    <row r="214" spans="13:15" ht="15" x14ac:dyDescent="0.2">
      <c r="M214" s="56"/>
      <c r="N214" s="57"/>
      <c r="O214" s="58" t="b">
        <f t="shared" si="13"/>
        <v>0</v>
      </c>
    </row>
    <row r="215" spans="13:15" ht="15" x14ac:dyDescent="0.2">
      <c r="M215" s="56"/>
      <c r="N215" s="57"/>
      <c r="O215" s="58" t="b">
        <f t="shared" si="13"/>
        <v>0</v>
      </c>
    </row>
    <row r="216" spans="13:15" ht="15" x14ac:dyDescent="0.2">
      <c r="M216" s="56"/>
      <c r="N216" s="57"/>
      <c r="O216" s="58" t="b">
        <f t="shared" si="13"/>
        <v>0</v>
      </c>
    </row>
    <row r="217" spans="13:15" ht="15" x14ac:dyDescent="0.2">
      <c r="M217" s="56"/>
      <c r="N217" s="57"/>
      <c r="O217" s="58" t="b">
        <f t="shared" si="13"/>
        <v>0</v>
      </c>
    </row>
    <row r="218" spans="13:15" ht="15" x14ac:dyDescent="0.2">
      <c r="M218" s="56"/>
      <c r="N218" s="57"/>
      <c r="O218" s="58" t="b">
        <f t="shared" si="13"/>
        <v>0</v>
      </c>
    </row>
    <row r="219" spans="13:15" ht="15" x14ac:dyDescent="0.2">
      <c r="M219" s="56"/>
      <c r="N219" s="57"/>
      <c r="O219" s="58" t="b">
        <f t="shared" si="13"/>
        <v>0</v>
      </c>
    </row>
    <row r="220" spans="13:15" ht="15" x14ac:dyDescent="0.2">
      <c r="M220" s="56"/>
      <c r="N220" s="57"/>
      <c r="O220" s="58" t="b">
        <f t="shared" si="13"/>
        <v>0</v>
      </c>
    </row>
    <row r="221" spans="13:15" ht="15" x14ac:dyDescent="0.2">
      <c r="M221" s="56"/>
      <c r="N221" s="57"/>
      <c r="O221" s="58" t="b">
        <f t="shared" si="13"/>
        <v>0</v>
      </c>
    </row>
    <row r="222" spans="13:15" ht="15" x14ac:dyDescent="0.2">
      <c r="M222" s="56"/>
      <c r="N222" s="57"/>
      <c r="O222" s="58" t="b">
        <f t="shared" si="13"/>
        <v>0</v>
      </c>
    </row>
    <row r="223" spans="13:15" ht="15" x14ac:dyDescent="0.2">
      <c r="M223" s="56"/>
      <c r="N223" s="57"/>
      <c r="O223" s="58" t="b">
        <f t="shared" si="13"/>
        <v>0</v>
      </c>
    </row>
    <row r="224" spans="13:15" ht="15" x14ac:dyDescent="0.2">
      <c r="M224" s="56"/>
      <c r="N224" s="57"/>
      <c r="O224" s="58" t="b">
        <f t="shared" si="13"/>
        <v>0</v>
      </c>
    </row>
    <row r="225" spans="13:15" ht="15" x14ac:dyDescent="0.2">
      <c r="M225" s="56"/>
      <c r="N225" s="57"/>
      <c r="O225" s="58" t="b">
        <f t="shared" si="13"/>
        <v>0</v>
      </c>
    </row>
    <row r="226" spans="13:15" ht="15" x14ac:dyDescent="0.2">
      <c r="M226" s="56"/>
      <c r="N226" s="57"/>
      <c r="O226" s="58" t="b">
        <f t="shared" si="13"/>
        <v>0</v>
      </c>
    </row>
    <row r="227" spans="13:15" ht="15" x14ac:dyDescent="0.2">
      <c r="M227" s="56"/>
      <c r="N227" s="57"/>
      <c r="O227" s="58" t="b">
        <f t="shared" si="13"/>
        <v>0</v>
      </c>
    </row>
    <row r="228" spans="13:15" ht="15" x14ac:dyDescent="0.2">
      <c r="M228" s="56"/>
      <c r="N228" s="57"/>
      <c r="O228" s="58" t="b">
        <f t="shared" si="13"/>
        <v>0</v>
      </c>
    </row>
    <row r="229" spans="13:15" ht="15" x14ac:dyDescent="0.2">
      <c r="M229" s="56"/>
      <c r="N229" s="57"/>
      <c r="O229" s="58" t="b">
        <f t="shared" si="13"/>
        <v>0</v>
      </c>
    </row>
    <row r="230" spans="13:15" ht="15" x14ac:dyDescent="0.2">
      <c r="M230" s="56"/>
      <c r="N230" s="57"/>
      <c r="O230" s="58" t="b">
        <f t="shared" si="13"/>
        <v>0</v>
      </c>
    </row>
    <row r="231" spans="13:15" ht="15" x14ac:dyDescent="0.2">
      <c r="M231" s="56"/>
      <c r="N231" s="57"/>
      <c r="O231" s="58" t="b">
        <f t="shared" si="13"/>
        <v>0</v>
      </c>
    </row>
    <row r="232" spans="13:15" ht="15" x14ac:dyDescent="0.2">
      <c r="M232" s="56"/>
      <c r="N232" s="57"/>
      <c r="O232" s="58" t="b">
        <f t="shared" si="13"/>
        <v>0</v>
      </c>
    </row>
    <row r="233" spans="13:15" ht="15" x14ac:dyDescent="0.2">
      <c r="M233" s="56"/>
      <c r="N233" s="57"/>
      <c r="O233" s="58" t="b">
        <f t="shared" si="13"/>
        <v>0</v>
      </c>
    </row>
    <row r="234" spans="13:15" ht="15" x14ac:dyDescent="0.2">
      <c r="M234" s="56"/>
      <c r="N234" s="57"/>
      <c r="O234" s="58" t="b">
        <f t="shared" si="13"/>
        <v>0</v>
      </c>
    </row>
    <row r="235" spans="13:15" ht="15" x14ac:dyDescent="0.2">
      <c r="M235" s="56"/>
      <c r="N235" s="57"/>
      <c r="O235" s="58" t="b">
        <f t="shared" si="13"/>
        <v>0</v>
      </c>
    </row>
    <row r="236" spans="13:15" ht="15" x14ac:dyDescent="0.2">
      <c r="M236" s="56"/>
      <c r="N236" s="57"/>
      <c r="O236" s="58" t="b">
        <f t="shared" si="13"/>
        <v>0</v>
      </c>
    </row>
    <row r="237" spans="13:15" ht="15" x14ac:dyDescent="0.2">
      <c r="M237" s="56"/>
      <c r="N237" s="57"/>
      <c r="O237" s="58" t="b">
        <f t="shared" si="13"/>
        <v>0</v>
      </c>
    </row>
    <row r="238" spans="13:15" ht="15" x14ac:dyDescent="0.2">
      <c r="M238" s="56"/>
      <c r="N238" s="57"/>
      <c r="O238" s="58" t="b">
        <f t="shared" si="13"/>
        <v>0</v>
      </c>
    </row>
    <row r="239" spans="13:15" ht="15" x14ac:dyDescent="0.2">
      <c r="M239" s="56"/>
      <c r="N239" s="57"/>
      <c r="O239" s="58" t="b">
        <f t="shared" si="13"/>
        <v>0</v>
      </c>
    </row>
    <row r="240" spans="13:15" ht="15" x14ac:dyDescent="0.2">
      <c r="M240" s="56"/>
      <c r="N240" s="57"/>
      <c r="O240" s="58" t="b">
        <f t="shared" si="13"/>
        <v>0</v>
      </c>
    </row>
    <row r="241" spans="13:15" ht="15" x14ac:dyDescent="0.2">
      <c r="M241" s="56"/>
      <c r="N241" s="57"/>
      <c r="O241" s="58" t="b">
        <f t="shared" si="13"/>
        <v>0</v>
      </c>
    </row>
    <row r="242" spans="13:15" ht="15" x14ac:dyDescent="0.2">
      <c r="M242" s="56"/>
      <c r="N242" s="57"/>
      <c r="O242" s="58" t="b">
        <f t="shared" si="13"/>
        <v>0</v>
      </c>
    </row>
    <row r="243" spans="13:15" ht="15" x14ac:dyDescent="0.2">
      <c r="M243" s="56"/>
      <c r="N243" s="57"/>
      <c r="O243" s="58" t="b">
        <f t="shared" si="13"/>
        <v>0</v>
      </c>
    </row>
    <row r="244" spans="13:15" ht="15" x14ac:dyDescent="0.2">
      <c r="M244" s="56"/>
      <c r="N244" s="57"/>
      <c r="O244" s="58" t="b">
        <f t="shared" si="13"/>
        <v>0</v>
      </c>
    </row>
    <row r="245" spans="13:15" ht="15" x14ac:dyDescent="0.2">
      <c r="M245" s="56"/>
      <c r="N245" s="57"/>
      <c r="O245" s="58" t="b">
        <f t="shared" si="13"/>
        <v>0</v>
      </c>
    </row>
    <row r="246" spans="13:15" ht="15" x14ac:dyDescent="0.2">
      <c r="M246" s="56"/>
      <c r="N246" s="57"/>
      <c r="O246" s="58" t="b">
        <f t="shared" si="13"/>
        <v>0</v>
      </c>
    </row>
    <row r="247" spans="13:15" ht="15" x14ac:dyDescent="0.2">
      <c r="M247" s="56"/>
      <c r="N247" s="57"/>
      <c r="O247" s="58" t="b">
        <f t="shared" si="13"/>
        <v>0</v>
      </c>
    </row>
    <row r="248" spans="13:15" ht="15" x14ac:dyDescent="0.2">
      <c r="M248" s="56"/>
      <c r="N248" s="57"/>
      <c r="O248" s="58" t="b">
        <f t="shared" si="13"/>
        <v>0</v>
      </c>
    </row>
    <row r="249" spans="13:15" ht="15" x14ac:dyDescent="0.2">
      <c r="M249" s="56"/>
      <c r="N249" s="57"/>
      <c r="O249" s="58" t="b">
        <f t="shared" si="13"/>
        <v>0</v>
      </c>
    </row>
    <row r="250" spans="13:15" ht="15" x14ac:dyDescent="0.2">
      <c r="M250" s="56"/>
      <c r="N250" s="57"/>
      <c r="O250" s="58" t="b">
        <f t="shared" si="13"/>
        <v>0</v>
      </c>
    </row>
    <row r="251" spans="13:15" ht="15" x14ac:dyDescent="0.2">
      <c r="M251" s="56"/>
      <c r="N251" s="57"/>
      <c r="O251" s="58" t="b">
        <f t="shared" si="13"/>
        <v>0</v>
      </c>
    </row>
    <row r="252" spans="13:15" ht="15" x14ac:dyDescent="0.2">
      <c r="M252" s="56"/>
      <c r="N252" s="57"/>
      <c r="O252" s="54" t="b">
        <f t="shared" si="13"/>
        <v>0</v>
      </c>
    </row>
  </sheetData>
  <sheetProtection sheet="1" objects="1" scenarios="1" selectLockedCells="1"/>
  <mergeCells count="9">
    <mergeCell ref="E23:G23"/>
    <mergeCell ref="A25:C25"/>
    <mergeCell ref="A35:C35"/>
    <mergeCell ref="A1:C2"/>
    <mergeCell ref="E1:G1"/>
    <mergeCell ref="B3:C3"/>
    <mergeCell ref="B4:C4"/>
    <mergeCell ref="A8:C8"/>
    <mergeCell ref="A15:C15"/>
  </mergeCells>
  <pageMargins left="0.39370078740157483" right="0.39370078740157483" top="0.82677165354330717" bottom="0.31496062992125984" header="0.19685039370078741" footer="0.11811023622047245"/>
  <pageSetup paperSize="9" scale="82" orientation="landscape" horizontalDpi="4294967293" verticalDpi="1200" r:id="rId1"/>
  <headerFooter alignWithMargins="0">
    <oddHeader>&amp;C&amp;"Arial,Fett"&amp;14Ermittlung von Auslöseschwellen nach § 12 (1) DepV</oddHeader>
    <oddFooter>&amp;L&amp;G&amp;RVersion 2.1 (2018)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38</vt:i4>
      </vt:variant>
      <vt:variant>
        <vt:lpstr>Benannte Bereiche</vt:lpstr>
      </vt:variant>
      <vt:variant>
        <vt:i4>37</vt:i4>
      </vt:variant>
    </vt:vector>
  </HeadingPairs>
  <TitlesOfParts>
    <vt:vector size="75" baseType="lpstr">
      <vt:lpstr>pH</vt:lpstr>
      <vt:lpstr>eLF</vt:lpstr>
      <vt:lpstr>Natrium</vt:lpstr>
      <vt:lpstr>Kalium</vt:lpstr>
      <vt:lpstr>Magnesium</vt:lpstr>
      <vt:lpstr>Calcium</vt:lpstr>
      <vt:lpstr>Ngesamt</vt:lpstr>
      <vt:lpstr>Nitrat</vt:lpstr>
      <vt:lpstr>Ammonium</vt:lpstr>
      <vt:lpstr>Sulfat</vt:lpstr>
      <vt:lpstr>Chlorid</vt:lpstr>
      <vt:lpstr>TOC</vt:lpstr>
      <vt:lpstr>Fluorid</vt:lpstr>
      <vt:lpstr>Cyanid, lfr</vt:lpstr>
      <vt:lpstr>Cyanid</vt:lpstr>
      <vt:lpstr>Bor</vt:lpstr>
      <vt:lpstr>KW</vt:lpstr>
      <vt:lpstr>PAK</vt:lpstr>
      <vt:lpstr>AOX</vt:lpstr>
      <vt:lpstr>Arsen</vt:lpstr>
      <vt:lpstr>Blei</vt:lpstr>
      <vt:lpstr>Cadmium</vt:lpstr>
      <vt:lpstr>Chrom ges</vt:lpstr>
      <vt:lpstr>Kupfer</vt:lpstr>
      <vt:lpstr>Molybdän</vt:lpstr>
      <vt:lpstr>Nickel</vt:lpstr>
      <vt:lpstr>Quecksilber</vt:lpstr>
      <vt:lpstr>Zink</vt:lpstr>
      <vt:lpstr>frei 1</vt:lpstr>
      <vt:lpstr>frei 2</vt:lpstr>
      <vt:lpstr>frei 3</vt:lpstr>
      <vt:lpstr>frei 4</vt:lpstr>
      <vt:lpstr>frei 5</vt:lpstr>
      <vt:lpstr>trend 1</vt:lpstr>
      <vt:lpstr>trend 2</vt:lpstr>
      <vt:lpstr>trend 3</vt:lpstr>
      <vt:lpstr>trend 4</vt:lpstr>
      <vt:lpstr>XX</vt:lpstr>
      <vt:lpstr>Ammonium!Druckbereich</vt:lpstr>
      <vt:lpstr>AOX!Druckbereich</vt:lpstr>
      <vt:lpstr>Arsen!Druckbereich</vt:lpstr>
      <vt:lpstr>Blei!Druckbereich</vt:lpstr>
      <vt:lpstr>Bor!Druckbereich</vt:lpstr>
      <vt:lpstr>Cadmium!Druckbereich</vt:lpstr>
      <vt:lpstr>Calcium!Druckbereich</vt:lpstr>
      <vt:lpstr>Chlorid!Druckbereich</vt:lpstr>
      <vt:lpstr>'Chrom ges'!Druckbereich</vt:lpstr>
      <vt:lpstr>Cyanid!Druckbereich</vt:lpstr>
      <vt:lpstr>'Cyanid, lfr'!Druckbereich</vt:lpstr>
      <vt:lpstr>eLF!Druckbereich</vt:lpstr>
      <vt:lpstr>Fluorid!Druckbereich</vt:lpstr>
      <vt:lpstr>'frei 1'!Druckbereich</vt:lpstr>
      <vt:lpstr>'frei 2'!Druckbereich</vt:lpstr>
      <vt:lpstr>'frei 3'!Druckbereich</vt:lpstr>
      <vt:lpstr>'frei 4'!Druckbereich</vt:lpstr>
      <vt:lpstr>'frei 5'!Druckbereich</vt:lpstr>
      <vt:lpstr>Kalium!Druckbereich</vt:lpstr>
      <vt:lpstr>Kupfer!Druckbereich</vt:lpstr>
      <vt:lpstr>KW!Druckbereich</vt:lpstr>
      <vt:lpstr>Magnesium!Druckbereich</vt:lpstr>
      <vt:lpstr>Molybdän!Druckbereich</vt:lpstr>
      <vt:lpstr>Natrium!Druckbereich</vt:lpstr>
      <vt:lpstr>Ngesamt!Druckbereich</vt:lpstr>
      <vt:lpstr>Nickel!Druckbereich</vt:lpstr>
      <vt:lpstr>Nitrat!Druckbereich</vt:lpstr>
      <vt:lpstr>PAK!Druckbereich</vt:lpstr>
      <vt:lpstr>pH!Druckbereich</vt:lpstr>
      <vt:lpstr>Quecksilber!Druckbereich</vt:lpstr>
      <vt:lpstr>Sulfat!Druckbereich</vt:lpstr>
      <vt:lpstr>TOC!Druckbereich</vt:lpstr>
      <vt:lpstr>'trend 1'!Druckbereich</vt:lpstr>
      <vt:lpstr>'trend 2'!Druckbereich</vt:lpstr>
      <vt:lpstr>'trend 3'!Druckbereich</vt:lpstr>
      <vt:lpstr>'trend 4'!Druckbereich</vt:lpstr>
      <vt:lpstr>Zink!Druckbereich</vt:lpstr>
    </vt:vector>
  </TitlesOfParts>
  <Company>Landesumweltamt NRW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Auswertetool Auslöseschwellen Anstrom Version 1.5</dc:title>
  <dc:subject>Auslöseschwellen nach § 9 DepV</dc:subject>
  <dc:creator>Landesumweltamt Nordrhein-Westfalen - FB 73</dc:creator>
  <dc:description>Ansprechpartner: Dr. Michael Tiedt - Fachbereich 73 - Landesumweltamt NRW - Tel. (0201) 7995-2547</dc:description>
  <cp:lastModifiedBy>Tiedt</cp:lastModifiedBy>
  <cp:lastPrinted>2017-12-28T12:02:00Z</cp:lastPrinted>
  <dcterms:created xsi:type="dcterms:W3CDTF">2005-03-21T05:52:52Z</dcterms:created>
  <dcterms:modified xsi:type="dcterms:W3CDTF">2019-02-13T08:05:39Z</dcterms:modified>
</cp:coreProperties>
</file>